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1\7 Julio\"/>
    </mc:Choice>
  </mc:AlternateContent>
  <xr:revisionPtr revIDLastSave="0" documentId="13_ncr:1_{E9056B5D-BDF5-4A7E-875B-82C731B4393D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I57" i="1" l="1"/>
  <c r="F57" i="1"/>
  <c r="H57" i="1"/>
  <c r="E57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s="1"/>
  <c r="H28" i="2" l="1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D17" i="1" l="1"/>
  <c r="G12" i="1"/>
  <c r="G14" i="1"/>
  <c r="G13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<sst xmlns="http://schemas.openxmlformats.org/spreadsheetml/2006/main" count="308" uniqueCount="132">
  <si>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</si>
  <si>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</si>
  <si>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</si>
  <si>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</si>
  <si>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</si>
  <si>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</si>
  <si>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</si>
  <si>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</si>
  <si>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</si>
  <si>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</si>
  <si>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</si>
  <si>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</si>
  <si>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</si>
  <si>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</si>
  <si>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</si>
  <si>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</si>
  <si>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</si>
  <si>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</si>
  <si>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</si>
  <si>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</si>
  <si>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</si>
  <si>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</si>
  <si>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</si>
  <si>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</si>
  <si>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</si>
  <si>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</si>
  <si>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</si>
  <si>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</si>
  <si>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</si>
  <si>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</si>
  <si>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</si>
  <si>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</si>
  <si>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</si>
  <si>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</si>
  <si>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</si>
  <si>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</si>
  <si>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</si>
  <si>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</si>
  <si>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</si>
  <si>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</si>
  <si>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</si>
  <si>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</si>
  <si>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</si>
  <si>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</si>
  <si>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</si>
  <si>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</si>
  <si>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</si>
  <si>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</si>
  <si>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</si>
  <si>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</si>
  <si>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</si>
  <si>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</si>
  <si>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</si>
  <si>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</si>
  <si>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</si>
  <si>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</si>
  <si>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</si>
  <si>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</si>
  <si>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</si>
  <si>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</si>
  <si>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</si>
  <si>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</si>
  <si>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</si>
  <si>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</si>
  <si>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</si>
  <si>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</si>
  <si>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</si>
  <si>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</si>
  <si>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</si>
  <si>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</si>
  <si>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</si>
  <si>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</si>
  <si>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</si>
  <si>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</si>
  <si>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</si>
  <si>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</si>
  <si>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</si>
  <si>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</si>
  <si>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</si>
  <si>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</si>
  <si>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</si>
  <si>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</si>
  <si>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</si>
  <si>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</si>
  <si>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</si>
  <si>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</si>
  <si>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</si>
  <si>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</si>
  <si>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</si>
  <si>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</si>
  <si>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</si>
  <si>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</si>
  <si>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</si>
  <si>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</si>
  <si>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</si>
  <si>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</si>
  <si>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</si>
  <si>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</si>
  <si>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</si>
  <si>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</si>
  <si>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</si>
  <si>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</si>
  <si>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</si>
  <si>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</si>
  <si>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</si>
  <si>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</si>
  <si>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</si>
  <si>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</si>
  <si>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</si>
  <si>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</si>
  <si>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</si>
  <si>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</si>
  <si>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</si>
  <si>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</si>
  <si>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</si>
  <si>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</si>
  <si>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</si>
  <si>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</si>
  <si>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</si>
  <si>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</si>
  <si>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</si>
  <si>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</si>
  <si>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</si>
  <si>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</si>
  <si>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3.1 Producción de energía eléctrica (GWh) nacional según zona 2021 vs 2020</t>
  </si>
  <si>
    <t>1. RESUMEN NACIONAL AL MES DE JUNIO 2021</t>
  </si>
  <si>
    <t>Junio</t>
  </si>
  <si>
    <t>Enero - Junio</t>
  </si>
  <si>
    <t>Grafico N° 11: Generación de energía eléctrica por Región, al mes de junio 2021</t>
  </si>
  <si>
    <t>Cuadro N° 8: Producción de energía eléctrica nacional por zona del país, al mes de junio</t>
  </si>
  <si>
    <t>3.2 Producción de energía eléctrica (GWh) por origen y zona al mes de junio 2021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</si>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</sst>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5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2" xfId="33743" applyFont="1" applyBorder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3" fontId="0" fillId="68" borderId="60" xfId="0" applyNumberForma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0" fillId="68" borderId="63" xfId="0" applyNumberFormat="1" applyFont="1" applyFill="1" applyBorder="1" applyAlignment="1">
      <alignment vertical="center"/>
    </xf>
    <xf numFmtId="167" fontId="0" fillId="68" borderId="84" xfId="0" applyNumberFormat="1" applyFont="1" applyFill="1" applyBorder="1" applyAlignment="1">
      <alignment vertical="center"/>
    </xf>
    <xf numFmtId="167" fontId="99" fillId="0" borderId="86" xfId="0" applyNumberFormat="1" applyFont="1" applyBorder="1"/>
    <xf numFmtId="167" fontId="99" fillId="0" borderId="60" xfId="0" applyNumberFormat="1" applyFont="1" applyBorder="1"/>
    <xf numFmtId="178" fontId="96" fillId="68" borderId="25" xfId="33743" applyNumberFormat="1" applyFont="1" applyFill="1" applyBorder="1" applyAlignment="1">
      <alignment horizontal="center"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4" fontId="99" fillId="0" borderId="78" xfId="0" applyNumberFormat="1" applyFont="1" applyBorder="1"/>
    <xf numFmtId="4" fontId="99" fillId="0" borderId="108" xfId="0" applyNumberFormat="1" applyFont="1" applyBorder="1"/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167" fontId="0" fillId="68" borderId="30" xfId="0" applyNumberFormat="1" applyFill="1" applyBorder="1"/>
    <xf numFmtId="167" fontId="0" fillId="68" borderId="35" xfId="0" applyNumberFormat="1" applyFill="1" applyBorder="1"/>
    <xf numFmtId="3" fontId="99" fillId="0" borderId="28" xfId="0" applyNumberFormat="1" applyFont="1" applyBorder="1"/>
    <xf numFmtId="3" fontId="99" fillId="0" borderId="60" xfId="0" applyNumberFormat="1" applyFont="1" applyBorder="1"/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Junio 2021</a:t>
            </a:r>
          </a:p>
          <a:p>
            <a:pPr>
              <a:defRPr sz="800" b="1"/>
            </a:pPr>
            <a:r>
              <a:rPr lang="es-PE" sz="800" b="1"/>
              <a:t>Total : 4 725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51.684275080359257</c:v>
                </c:pt>
                <c:pt idx="1">
                  <c:v>97.516657395435004</c:v>
                </c:pt>
                <c:pt idx="2">
                  <c:v>2207.9623662742624</c:v>
                </c:pt>
                <c:pt idx="3">
                  <c:v>2179.047655133731</c:v>
                </c:pt>
                <c:pt idx="4">
                  <c:v>188.45223602499999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1823.5348395731796</c:v>
                </c:pt>
                <c:pt idx="2" formatCode="_ * #,##0.00_ ;_ * \-#,##0.00_ ;_ * &quot;-&quot;??_ ;_ @_ ">
                  <c:v>6.4619999999999999E-3</c:v>
                </c:pt>
                <c:pt idx="3">
                  <c:v>2024.0205493872063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56.737768147500013</c:v>
                </c:pt>
                <c:pt idx="1">
                  <c:v>311.83123650693778</c:v>
                </c:pt>
                <c:pt idx="2">
                  <c:v>54.263323282500018</c:v>
                </c:pt>
                <c:pt idx="3">
                  <c:v>60.629548722395725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33.250649975333332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3847.561850960386</c:v>
                </c:pt>
                <c:pt idx="1">
                  <c:v>483.46187665933354</c:v>
                </c:pt>
                <c:pt idx="2">
                  <c:v>360.38881231373472</c:v>
                </c:pt>
                <c:pt idx="3">
                  <c:v>33.250649975333332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ANCASH</c:v>
                </c:pt>
                <c:pt idx="6">
                  <c:v>PIURA</c:v>
                </c:pt>
                <c:pt idx="7">
                  <c:v>CAJAMARCA</c:v>
                </c:pt>
                <c:pt idx="8">
                  <c:v>HUANUCO</c:v>
                </c:pt>
                <c:pt idx="9">
                  <c:v>ICA</c:v>
                </c:pt>
                <c:pt idx="10">
                  <c:v>AREQUIPA</c:v>
                </c:pt>
                <c:pt idx="11">
                  <c:v>LA LIBERTAD</c:v>
                </c:pt>
                <c:pt idx="12">
                  <c:v>PUNO</c:v>
                </c:pt>
                <c:pt idx="13">
                  <c:v>PASCO</c:v>
                </c:pt>
                <c:pt idx="14">
                  <c:v>MOQUEGUA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APURIMAC</c:v>
                </c:pt>
                <c:pt idx="20">
                  <c:v>AMAZONAS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2207.2429581225033</c:v>
                </c:pt>
                <c:pt idx="1">
                  <c:v>796.63310611974407</c:v>
                </c:pt>
                <c:pt idx="2">
                  <c:v>279.7627826425001</c:v>
                </c:pt>
                <c:pt idx="3">
                  <c:v>230.69324296000011</c:v>
                </c:pt>
                <c:pt idx="4">
                  <c:v>169.43714983079582</c:v>
                </c:pt>
                <c:pt idx="5">
                  <c:v>138.33190154290909</c:v>
                </c:pt>
                <c:pt idx="6">
                  <c:v>133.75934496686529</c:v>
                </c:pt>
                <c:pt idx="7">
                  <c:v>129.62910727574993</c:v>
                </c:pt>
                <c:pt idx="8">
                  <c:v>118.91974449189637</c:v>
                </c:pt>
                <c:pt idx="9">
                  <c:v>99.1853076641667</c:v>
                </c:pt>
                <c:pt idx="10">
                  <c:v>89.239306308537579</c:v>
                </c:pt>
                <c:pt idx="11">
                  <c:v>82.600870931119516</c:v>
                </c:pt>
                <c:pt idx="12">
                  <c:v>65.178631280000005</c:v>
                </c:pt>
                <c:pt idx="13">
                  <c:v>52.0963701875</c:v>
                </c:pt>
                <c:pt idx="14">
                  <c:v>44.822631137500004</c:v>
                </c:pt>
                <c:pt idx="15">
                  <c:v>33.250649975333332</c:v>
                </c:pt>
                <c:pt idx="16">
                  <c:v>23.881744893333337</c:v>
                </c:pt>
                <c:pt idx="17">
                  <c:v>9.884503862499999</c:v>
                </c:pt>
                <c:pt idx="18">
                  <c:v>5.3906158066666681</c:v>
                </c:pt>
                <c:pt idx="19">
                  <c:v>4.3913599999999997</c:v>
                </c:pt>
                <c:pt idx="20">
                  <c:v>3.9583253333333337</c:v>
                </c:pt>
                <c:pt idx="21">
                  <c:v>3.95</c:v>
                </c:pt>
                <c:pt idx="22">
                  <c:v>1.1005480000000003</c:v>
                </c:pt>
                <c:pt idx="23">
                  <c:v>0.85577733333333328</c:v>
                </c:pt>
                <c:pt idx="24">
                  <c:v>0.46720924250000001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2243.9081500568905</c:v>
                </c:pt>
                <c:pt idx="1">
                  <c:v>1560.2024491747661</c:v>
                </c:pt>
                <c:pt idx="2">
                  <c:v>162.692385</c:v>
                </c:pt>
                <c:pt idx="3">
                  <c:v>55.072358000000001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2259.6466413546218</c:v>
                </c:pt>
                <c:pt idx="1">
                  <c:v>2276.5643125291663</c:v>
                </c:pt>
                <c:pt idx="2">
                  <c:v>134.18891274249998</c:v>
                </c:pt>
                <c:pt idx="3">
                  <c:v>54.263323282500018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147.96379503542704</c:v>
                </c:pt>
                <c:pt idx="1">
                  <c:v>149.28514012269909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3873.9115471962282</c:v>
                </c:pt>
                <c:pt idx="1">
                  <c:v>4575.3780497860889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2100.4773339143903</c:v>
                </c:pt>
                <c:pt idx="1">
                  <c:v>2095.3232578671218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1517.9976491747661</c:v>
                </c:pt>
                <c:pt idx="1">
                  <c:v>2226.8433369304862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143.43081614250008</c:v>
                </c:pt>
                <c:pt idx="1">
                  <c:v>164.32338348749994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259.96954300000004</c:v>
                </c:pt>
                <c:pt idx="1">
                  <c:v>238.17321162367995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2259.6466413546218</c:v>
                </c:pt>
                <c:pt idx="1">
                  <c:v>2074.8893594404885</c:v>
                </c:pt>
                <c:pt idx="2">
                  <c:v>151.73686448004446</c:v>
                </c:pt>
                <c:pt idx="3">
                  <c:v>49.720975598679956</c:v>
                </c:pt>
                <c:pt idx="4">
                  <c:v>134.18891274249998</c:v>
                </c:pt>
                <c:pt idx="5">
                  <c:v>54.263323282500018</c:v>
                </c:pt>
                <c:pt idx="6" formatCode="#,##0.0">
                  <c:v>0.21711300995307381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3761.9057992316557</c:v>
                </c:pt>
                <c:pt idx="1">
                  <c:v>4486.489978285108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259.96954300000004</c:v>
                </c:pt>
                <c:pt idx="1">
                  <c:v>238.17321162367995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491769503910587E-2"/>
                  <c:y val="2.0933497003777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08545833543E-2"/>
                  <c:y val="-5.077530038684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6.4638886310123253E-2</c:v>
                </c:pt>
                <c:pt idx="1">
                  <c:v>5.0410622313223137E-2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2243.9081500568905</c:v>
                </c:pt>
                <c:pt idx="1">
                  <c:v>1437.598714</c:v>
                </c:pt>
                <c:pt idx="2">
                  <c:v>80.223935174764847</c:v>
                </c:pt>
                <c:pt idx="3" formatCode="#,##0.00">
                  <c:v>0.17499999999999999</c:v>
                </c:pt>
                <c:pt idx="4">
                  <c:v>42.204800000000034</c:v>
                </c:pt>
                <c:pt idx="5">
                  <c:v>162.692385</c:v>
                </c:pt>
                <c:pt idx="6">
                  <c:v>55.072358000000001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2259.6466413546218</c:v>
                </c:pt>
                <c:pt idx="1">
                  <c:v>2074.8893594404885</c:v>
                </c:pt>
                <c:pt idx="2">
                  <c:v>151.73686448004446</c:v>
                </c:pt>
                <c:pt idx="3" formatCode="#,##0.00">
                  <c:v>0.21711300995307381</c:v>
                </c:pt>
                <c:pt idx="4">
                  <c:v>49.720975598679956</c:v>
                </c:pt>
                <c:pt idx="5">
                  <c:v>134.18891274249998</c:v>
                </c:pt>
                <c:pt idx="6">
                  <c:v>54.263323282500018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77.45114459499996</c:v>
                </c:pt>
                <c:pt idx="1">
                  <c:v>124.28056527450417</c:v>
                </c:pt>
                <c:pt idx="2">
                  <c:v>0</c:v>
                </c:pt>
                <c:pt idx="3">
                  <c:v>158.65710244423059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junio 2021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22594" y="117596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0561" y="3277961"/>
          <a:ext cx="4109514" cy="565158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view="pageBreakPreview" topLeftCell="A40" zoomScaleNormal="120" zoomScaleSheetLayoutView="100" workbookViewId="0">
      <selection activeCell="J30" sqref="J30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1"/>
      <c r="D8" s="131"/>
      <c r="E8" s="131"/>
      <c r="F8" s="131"/>
      <c r="G8" s="131"/>
      <c r="H8" s="9"/>
      <c r="I8" s="9"/>
      <c r="J8" s="9"/>
      <c r="K8" s="9"/>
    </row>
    <row r="9" spans="2:19" s="1" customFormat="1" ht="26.4">
      <c r="B9" s="8"/>
      <c r="C9" s="181" t="s">
        <v>62</v>
      </c>
      <c r="D9" s="182" t="s">
        <v>69</v>
      </c>
      <c r="E9" s="183" t="s">
        <v>70</v>
      </c>
      <c r="F9" s="184" t="s">
        <v>71</v>
      </c>
      <c r="G9" s="185" t="s">
        <v>72</v>
      </c>
      <c r="H9" s="9"/>
      <c r="I9" s="9"/>
      <c r="J9" s="9"/>
      <c r="K9" s="9"/>
    </row>
    <row r="10" spans="2:19" s="1" customFormat="1" ht="13.8" thickBot="1">
      <c r="B10" s="8"/>
      <c r="C10" s="186" t="s">
        <v>63</v>
      </c>
      <c r="D10" s="187"/>
      <c r="E10" s="188"/>
      <c r="F10" s="189"/>
      <c r="G10" s="190"/>
      <c r="H10" s="9"/>
      <c r="I10" s="9"/>
      <c r="J10" s="9"/>
      <c r="K10" s="9"/>
    </row>
    <row r="11" spans="2:19" s="1" customFormat="1" ht="13.8" thickTop="1">
      <c r="B11" s="8"/>
      <c r="C11" s="132"/>
      <c r="D11" s="133"/>
      <c r="E11" s="134"/>
      <c r="F11" s="135"/>
      <c r="G11" s="136"/>
      <c r="H11" s="9"/>
      <c r="I11" s="9"/>
      <c r="J11" s="9"/>
      <c r="K11" s="9"/>
      <c r="Q11" s="375" t="s">
        <v>64</v>
      </c>
      <c r="R11" s="146" t="s">
        <v>41</v>
      </c>
      <c r="S11" s="147">
        <f>E12</f>
        <v>51.684275080359257</v>
      </c>
    </row>
    <row r="12" spans="2:19" s="1" customFormat="1">
      <c r="B12" s="8"/>
      <c r="C12" s="137" t="s">
        <v>66</v>
      </c>
      <c r="D12" s="138">
        <v>2207.9623662742624</v>
      </c>
      <c r="E12" s="139">
        <v>51.684275080359257</v>
      </c>
      <c r="F12" s="140">
        <f>SUM(D12:E12)</f>
        <v>2259.6466413546218</v>
      </c>
      <c r="G12" s="339">
        <f>(F12/F$16)+0.005</f>
        <v>0.48326618544596089</v>
      </c>
      <c r="H12" s="9"/>
      <c r="I12" s="9"/>
      <c r="J12" s="9"/>
      <c r="K12" s="9"/>
      <c r="Q12" s="375"/>
      <c r="R12" s="146" t="s">
        <v>73</v>
      </c>
      <c r="S12" s="147">
        <f>E13</f>
        <v>97.516657395435004</v>
      </c>
    </row>
    <row r="13" spans="2:19" s="1" customFormat="1">
      <c r="B13" s="8"/>
      <c r="C13" s="137" t="s">
        <v>65</v>
      </c>
      <c r="D13" s="138">
        <v>2179.047655133731</v>
      </c>
      <c r="E13" s="139">
        <v>97.516657395435004</v>
      </c>
      <c r="F13" s="140">
        <f>SUM(D13:E13)</f>
        <v>2276.5643125291663</v>
      </c>
      <c r="G13" s="339">
        <f>(F13/F$16)</f>
        <v>0.48184690019631138</v>
      </c>
      <c r="H13" s="9"/>
      <c r="I13" s="9"/>
      <c r="J13" s="9"/>
      <c r="K13" s="9"/>
      <c r="Q13" s="375" t="s">
        <v>88</v>
      </c>
      <c r="R13" s="146" t="s">
        <v>41</v>
      </c>
      <c r="S13" s="147">
        <f>D12</f>
        <v>2207.9623662742624</v>
      </c>
    </row>
    <row r="14" spans="2:19" s="1" customFormat="1">
      <c r="B14" s="8"/>
      <c r="C14" s="137" t="s">
        <v>67</v>
      </c>
      <c r="D14" s="138">
        <v>134.18891274249998</v>
      </c>
      <c r="E14" s="141"/>
      <c r="F14" s="140">
        <f>SUM(D14:E14)</f>
        <v>134.18891274249998</v>
      </c>
      <c r="G14" s="339">
        <f>(F14/F$16)</f>
        <v>2.8401794445180449E-2</v>
      </c>
      <c r="H14" s="9"/>
      <c r="I14" s="9"/>
      <c r="J14" s="9"/>
      <c r="K14" s="9"/>
      <c r="Q14" s="375"/>
      <c r="R14" s="146" t="s">
        <v>73</v>
      </c>
      <c r="S14" s="147">
        <f>D13</f>
        <v>2179.047655133731</v>
      </c>
    </row>
    <row r="15" spans="2:19" s="1" customFormat="1" ht="13.8" thickBot="1">
      <c r="B15" s="8"/>
      <c r="C15" s="142" t="s">
        <v>5</v>
      </c>
      <c r="D15" s="143">
        <v>54.263323282500018</v>
      </c>
      <c r="E15" s="144"/>
      <c r="F15" s="145">
        <f>SUM(D15:E15)</f>
        <v>54.263323282500018</v>
      </c>
      <c r="G15" s="340">
        <f>(F15/F$16)</f>
        <v>1.1485119912547161E-2</v>
      </c>
      <c r="H15" s="9"/>
      <c r="I15" s="9"/>
      <c r="J15" s="9"/>
      <c r="K15" s="9"/>
      <c r="Q15" s="375"/>
      <c r="R15" s="146" t="s">
        <v>87</v>
      </c>
      <c r="S15" s="147">
        <f>SUM(D14:D15)</f>
        <v>188.45223602499999</v>
      </c>
    </row>
    <row r="16" spans="2:19" s="1" customFormat="1" ht="13.8" thickTop="1">
      <c r="B16" s="8"/>
      <c r="C16" s="247" t="s">
        <v>71</v>
      </c>
      <c r="D16" s="248">
        <f>SUM(D12:D15)</f>
        <v>4575.4622574329942</v>
      </c>
      <c r="E16" s="249">
        <f>SUM(E12:E15)</f>
        <v>149.20093247579427</v>
      </c>
      <c r="F16" s="250">
        <f>SUM(F12:F15)</f>
        <v>4724.6631899087888</v>
      </c>
      <c r="G16" s="251"/>
      <c r="H16" s="9"/>
      <c r="I16" s="9"/>
      <c r="J16" s="9"/>
      <c r="K16" s="9"/>
    </row>
    <row r="17" spans="2:19" s="1" customFormat="1">
      <c r="B17" s="8"/>
      <c r="C17" s="252" t="s">
        <v>109</v>
      </c>
      <c r="D17" s="319">
        <f>D16/F16</f>
        <v>0.96842083203000229</v>
      </c>
      <c r="E17" s="320">
        <f>E16/F16</f>
        <v>3.1579167969997594E-2</v>
      </c>
      <c r="F17" s="253"/>
      <c r="G17" s="254"/>
      <c r="H17" s="9"/>
      <c r="I17" s="9"/>
      <c r="J17" s="9"/>
      <c r="K17" s="9"/>
    </row>
    <row r="18" spans="2:19" s="1" customFormat="1">
      <c r="B18" s="8"/>
      <c r="C18" s="132"/>
      <c r="D18" s="132"/>
      <c r="E18" s="132"/>
      <c r="F18" s="132"/>
      <c r="G18" s="132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2"/>
      <c r="D22" s="132"/>
      <c r="E22" s="132"/>
      <c r="F22" s="132"/>
      <c r="G22" s="132"/>
      <c r="H22" s="131"/>
      <c r="I22" s="131"/>
      <c r="J22" s="131"/>
      <c r="K22" s="9"/>
    </row>
    <row r="23" spans="2:19" s="1" customFormat="1" ht="12.75" customHeight="1">
      <c r="B23" s="8"/>
      <c r="C23" s="382" t="s">
        <v>112</v>
      </c>
      <c r="D23" s="383"/>
      <c r="E23" s="376" t="s">
        <v>126</v>
      </c>
      <c r="F23" s="377"/>
      <c r="G23" s="151" t="s">
        <v>74</v>
      </c>
      <c r="H23" s="380" t="s">
        <v>127</v>
      </c>
      <c r="I23" s="381"/>
      <c r="J23" s="151" t="s">
        <v>74</v>
      </c>
      <c r="K23" s="9"/>
      <c r="Q23" s="146"/>
      <c r="R23" s="146">
        <v>2020</v>
      </c>
      <c r="S23" s="146">
        <v>2021</v>
      </c>
    </row>
    <row r="24" spans="2:19" s="1" customFormat="1" ht="12.75" customHeight="1">
      <c r="B24" s="8"/>
      <c r="C24" s="152"/>
      <c r="D24" s="153"/>
      <c r="E24" s="154">
        <v>2020</v>
      </c>
      <c r="F24" s="155">
        <v>2021</v>
      </c>
      <c r="G24" s="156"/>
      <c r="H24" s="236">
        <v>2020</v>
      </c>
      <c r="I24" s="155">
        <v>2021</v>
      </c>
      <c r="J24" s="156"/>
      <c r="K24" s="9"/>
      <c r="Q24" s="146" t="s">
        <v>76</v>
      </c>
      <c r="R24" s="147">
        <f>E29</f>
        <v>147.96379503542704</v>
      </c>
      <c r="S24" s="147">
        <f>F29</f>
        <v>149.28514012269909</v>
      </c>
    </row>
    <row r="25" spans="2:19" s="1" customFormat="1">
      <c r="B25" s="8"/>
      <c r="C25" s="371" t="s">
        <v>0</v>
      </c>
      <c r="D25" s="372"/>
      <c r="E25" s="191">
        <f>SUM(E26:E28)</f>
        <v>3873.9115471962282</v>
      </c>
      <c r="F25" s="192">
        <f>SUM(F26:F28)</f>
        <v>4575.3780497860889</v>
      </c>
      <c r="G25" s="193">
        <f>((F25/E25)-1)</f>
        <v>0.18107447577050451</v>
      </c>
      <c r="H25" s="237">
        <f>SUM(H26:H28)</f>
        <v>23902.731512691575</v>
      </c>
      <c r="I25" s="192">
        <f>SUM(I26:I28)</f>
        <v>27444.748749391401</v>
      </c>
      <c r="J25" s="193">
        <f>((I25/H25)-1)</f>
        <v>0.14818462211396755</v>
      </c>
      <c r="K25" s="9"/>
      <c r="Q25" s="146" t="s">
        <v>0</v>
      </c>
      <c r="R25" s="147">
        <f>E25</f>
        <v>3873.9115471962282</v>
      </c>
      <c r="S25" s="147">
        <f>F25</f>
        <v>4575.3780497860889</v>
      </c>
    </row>
    <row r="26" spans="2:19" s="1" customFormat="1">
      <c r="B26" s="8"/>
      <c r="C26" s="267" t="s">
        <v>62</v>
      </c>
      <c r="D26" s="276" t="s">
        <v>102</v>
      </c>
      <c r="E26" s="158">
        <v>3757.4740220174999</v>
      </c>
      <c r="F26" s="159">
        <v>4438.1983897100035</v>
      </c>
      <c r="G26" s="160">
        <f t="shared" ref="G26:G32" si="0">((F26/E26)-1)</f>
        <v>0.18116542222346554</v>
      </c>
      <c r="H26" s="238">
        <v>23146.897537357498</v>
      </c>
      <c r="I26" s="159">
        <v>26624.930628645005</v>
      </c>
      <c r="J26" s="160">
        <f t="shared" ref="J26:J32" si="1">((I26/H26)-1)</f>
        <v>0.1502591475023467</v>
      </c>
      <c r="K26" s="9"/>
    </row>
    <row r="27" spans="2:19" s="1" customFormat="1">
      <c r="B27" s="8"/>
      <c r="C27" s="268" t="s">
        <v>106</v>
      </c>
      <c r="D27" s="277" t="s">
        <v>77</v>
      </c>
      <c r="E27" s="270">
        <v>79.884411606271982</v>
      </c>
      <c r="F27" s="271">
        <v>95.810179670647003</v>
      </c>
      <c r="G27" s="280">
        <f t="shared" si="0"/>
        <v>0.19936014729467733</v>
      </c>
      <c r="H27" s="272">
        <v>531.62054526803195</v>
      </c>
      <c r="I27" s="271">
        <v>551.26444907935661</v>
      </c>
      <c r="J27" s="280">
        <f t="shared" si="1"/>
        <v>3.6950986913834694E-2</v>
      </c>
      <c r="K27" s="9"/>
    </row>
    <row r="28" spans="2:19" s="1" customFormat="1">
      <c r="B28" s="8"/>
      <c r="C28" s="269" t="s">
        <v>64</v>
      </c>
      <c r="D28" s="278" t="s">
        <v>77</v>
      </c>
      <c r="E28" s="158">
        <v>36.553113572456326</v>
      </c>
      <c r="F28" s="159">
        <v>41.369480405438139</v>
      </c>
      <c r="G28" s="279">
        <f t="shared" si="0"/>
        <v>0.13176351785832718</v>
      </c>
      <c r="H28" s="238">
        <v>224.21343006604468</v>
      </c>
      <c r="I28" s="159">
        <v>268.55367166703809</v>
      </c>
      <c r="J28" s="279">
        <f t="shared" si="1"/>
        <v>0.19775907976579488</v>
      </c>
      <c r="K28" s="9"/>
    </row>
    <row r="29" spans="2:19" s="1" customFormat="1">
      <c r="B29" s="8"/>
      <c r="C29" s="371" t="s">
        <v>76</v>
      </c>
      <c r="D29" s="372"/>
      <c r="E29" s="191">
        <f>SUM(E30:E31)</f>
        <v>147.96379503542704</v>
      </c>
      <c r="F29" s="192">
        <f>SUM(F30:F31)</f>
        <v>149.28514012269909</v>
      </c>
      <c r="G29" s="193">
        <f t="shared" si="0"/>
        <v>8.930191922663866E-3</v>
      </c>
      <c r="H29" s="237">
        <f>SUM(H30:H31)</f>
        <v>1086.4107098895001</v>
      </c>
      <c r="I29" s="192">
        <f>SUM(I30:I31)</f>
        <v>935.30748385591073</v>
      </c>
      <c r="J29" s="193">
        <f t="shared" si="1"/>
        <v>-0.13908480895678788</v>
      </c>
      <c r="K29" s="9"/>
      <c r="Q29" s="146"/>
      <c r="R29" s="146"/>
      <c r="S29" s="146"/>
    </row>
    <row r="30" spans="2:19" s="1" customFormat="1">
      <c r="B30" s="8"/>
      <c r="C30" s="273" t="s">
        <v>68</v>
      </c>
      <c r="D30" s="153"/>
      <c r="E30" s="158">
        <v>34.585372071003079</v>
      </c>
      <c r="F30" s="159">
        <v>41.453688052342983</v>
      </c>
      <c r="G30" s="279">
        <f t="shared" si="0"/>
        <v>0.19859020071374078</v>
      </c>
      <c r="H30" s="238">
        <v>217.50387595738232</v>
      </c>
      <c r="I30" s="159">
        <v>235.82354528686125</v>
      </c>
      <c r="J30" s="279">
        <f t="shared" si="1"/>
        <v>8.4226863768940285E-2</v>
      </c>
      <c r="K30" s="9"/>
    </row>
    <row r="31" spans="2:19" s="1" customFormat="1" ht="13.8" thickBot="1">
      <c r="B31" s="8"/>
      <c r="C31" s="274" t="s">
        <v>64</v>
      </c>
      <c r="D31" s="275"/>
      <c r="E31" s="162">
        <v>113.37842296442398</v>
      </c>
      <c r="F31" s="163">
        <v>107.83145207035611</v>
      </c>
      <c r="G31" s="164">
        <f t="shared" si="0"/>
        <v>-4.8924396274310555E-2</v>
      </c>
      <c r="H31" s="239">
        <v>868.90683393211782</v>
      </c>
      <c r="I31" s="163">
        <v>699.48393856904954</v>
      </c>
      <c r="J31" s="303">
        <f t="shared" si="1"/>
        <v>-0.1949839600137202</v>
      </c>
      <c r="K31" s="9"/>
    </row>
    <row r="32" spans="2:19" s="1" customFormat="1" ht="14.4" thickTop="1" thickBot="1">
      <c r="B32" s="8"/>
      <c r="C32" s="366" t="s">
        <v>108</v>
      </c>
      <c r="D32" s="367"/>
      <c r="E32" s="194">
        <f>SUM(E25,E29)</f>
        <v>4021.8753422316554</v>
      </c>
      <c r="F32" s="195">
        <f>SUM(F25,F29)</f>
        <v>4724.6631899087879</v>
      </c>
      <c r="G32" s="196">
        <f t="shared" si="0"/>
        <v>0.17474133031859962</v>
      </c>
      <c r="H32" s="240">
        <f>SUM(H25,H29)</f>
        <v>24989.142222581075</v>
      </c>
      <c r="I32" s="195">
        <f>SUM(I25,I29)</f>
        <v>28380.056233247313</v>
      </c>
      <c r="J32" s="196">
        <f t="shared" si="1"/>
        <v>0.13569549448568452</v>
      </c>
      <c r="K32" s="9"/>
    </row>
    <row r="33" spans="2:19" s="1" customFormat="1">
      <c r="B33" s="8"/>
      <c r="C33" s="314" t="s">
        <v>103</v>
      </c>
      <c r="D33" s="165"/>
      <c r="E33" s="165"/>
      <c r="F33" s="166"/>
      <c r="G33" s="131"/>
      <c r="H33" s="165"/>
      <c r="I33" s="165"/>
      <c r="J33" s="131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9"/>
      <c r="D38" s="150"/>
      <c r="E38" s="376" t="s">
        <v>126</v>
      </c>
      <c r="F38" s="377"/>
      <c r="G38" s="378" t="s">
        <v>74</v>
      </c>
      <c r="H38" s="380" t="s">
        <v>127</v>
      </c>
      <c r="I38" s="381"/>
      <c r="J38" s="378" t="s">
        <v>74</v>
      </c>
      <c r="K38" s="9"/>
      <c r="Q38" s="146"/>
      <c r="R38" s="146">
        <v>2020</v>
      </c>
      <c r="S38" s="146">
        <v>2021</v>
      </c>
    </row>
    <row r="39" spans="2:19" s="1" customFormat="1" ht="12.75" customHeight="1">
      <c r="B39" s="8"/>
      <c r="C39" s="152" t="s">
        <v>75</v>
      </c>
      <c r="D39" s="153"/>
      <c r="E39" s="154">
        <v>2020</v>
      </c>
      <c r="F39" s="155">
        <v>2021</v>
      </c>
      <c r="G39" s="379"/>
      <c r="H39" s="241">
        <v>2020</v>
      </c>
      <c r="I39" s="94">
        <v>2021</v>
      </c>
      <c r="J39" s="379"/>
      <c r="K39" s="9"/>
      <c r="Q39" s="146" t="s">
        <v>66</v>
      </c>
      <c r="R39" s="147">
        <f>SUM(E41,E46)</f>
        <v>2243.9081500568905</v>
      </c>
      <c r="S39" s="147">
        <f>SUM(F41,F46)</f>
        <v>2259.6466413546218</v>
      </c>
    </row>
    <row r="40" spans="2:19" s="1" customFormat="1">
      <c r="B40" s="8"/>
      <c r="C40" s="371" t="s">
        <v>68</v>
      </c>
      <c r="D40" s="372"/>
      <c r="E40" s="191">
        <f>SUM(E41:E44)</f>
        <v>3871.9438056947761</v>
      </c>
      <c r="F40" s="192">
        <f>SUM(F41:F44)</f>
        <v>4575.4622574329942</v>
      </c>
      <c r="G40" s="193">
        <f>((F40/E40)-1)</f>
        <v>0.18169645197419904</v>
      </c>
      <c r="H40" s="237">
        <f>SUM(H41:H44)</f>
        <v>23896.021958582915</v>
      </c>
      <c r="I40" s="192">
        <f>SUM(I41:I44)</f>
        <v>27412.018623011227</v>
      </c>
      <c r="J40" s="193">
        <f>((I40/H40)-1)</f>
        <v>0.1471373214555256</v>
      </c>
      <c r="K40" s="9"/>
      <c r="Q40" s="146" t="s">
        <v>65</v>
      </c>
      <c r="R40" s="147">
        <f>SUM(E42,E47)</f>
        <v>1560.2024491747661</v>
      </c>
      <c r="S40" s="147">
        <f>SUM(F42,F47)</f>
        <v>2276.5643125291663</v>
      </c>
    </row>
    <row r="41" spans="2:19" s="1" customFormat="1">
      <c r="B41" s="8"/>
      <c r="C41" s="157" t="s">
        <v>66</v>
      </c>
      <c r="D41" s="132"/>
      <c r="E41" s="158">
        <v>2199.5249946947761</v>
      </c>
      <c r="F41" s="159">
        <f>D12</f>
        <v>2207.9623662742624</v>
      </c>
      <c r="G41" s="279">
        <f t="shared" ref="G41:G48" si="2">((F41/E41)-1)</f>
        <v>3.8359971356711764E-3</v>
      </c>
      <c r="H41" s="238">
        <v>17299.550272582914</v>
      </c>
      <c r="I41" s="159">
        <v>17618.322282926994</v>
      </c>
      <c r="J41" s="279">
        <f t="shared" ref="J41:J48" si="3">((I41/H41)-1)</f>
        <v>1.8426606780020505E-2</v>
      </c>
      <c r="K41" s="9"/>
      <c r="Q41" s="146" t="s">
        <v>67</v>
      </c>
      <c r="R41" s="147">
        <f>E43</f>
        <v>162.692385</v>
      </c>
      <c r="S41" s="147">
        <f>F43</f>
        <v>134.18891274249998</v>
      </c>
    </row>
    <row r="42" spans="2:19" s="1" customFormat="1">
      <c r="B42" s="8"/>
      <c r="C42" s="157" t="s">
        <v>65</v>
      </c>
      <c r="D42" s="132"/>
      <c r="E42" s="158">
        <v>1454.6540680000003</v>
      </c>
      <c r="F42" s="159">
        <f>D13</f>
        <v>2179.047655133731</v>
      </c>
      <c r="G42" s="279">
        <f t="shared" si="2"/>
        <v>0.49798340586205314</v>
      </c>
      <c r="H42" s="238">
        <v>5440.2921900000001</v>
      </c>
      <c r="I42" s="159">
        <v>8555.1125883617315</v>
      </c>
      <c r="J42" s="279">
        <f t="shared" si="3"/>
        <v>0.57254652683677487</v>
      </c>
      <c r="K42" s="9"/>
      <c r="Q42" s="146" t="s">
        <v>5</v>
      </c>
      <c r="R42" s="147">
        <f>E44</f>
        <v>55.072358000000001</v>
      </c>
      <c r="S42" s="147">
        <f>F44</f>
        <v>54.263323282500018</v>
      </c>
    </row>
    <row r="43" spans="2:19" s="1" customFormat="1">
      <c r="B43" s="8"/>
      <c r="C43" s="157" t="s">
        <v>67</v>
      </c>
      <c r="D43" s="132"/>
      <c r="E43" s="158">
        <v>162.692385</v>
      </c>
      <c r="F43" s="159">
        <f>D14</f>
        <v>134.18891274249998</v>
      </c>
      <c r="G43" s="279">
        <f t="shared" si="2"/>
        <v>-0.17519856419524504</v>
      </c>
      <c r="H43" s="238">
        <v>805.44534699999997</v>
      </c>
      <c r="I43" s="159">
        <v>864.317240965</v>
      </c>
      <c r="J43" s="279">
        <f t="shared" si="3"/>
        <v>7.3092350938865236E-2</v>
      </c>
      <c r="K43" s="9"/>
    </row>
    <row r="44" spans="2:19" s="1" customFormat="1">
      <c r="B44" s="8"/>
      <c r="C44" s="157" t="s">
        <v>5</v>
      </c>
      <c r="D44" s="132"/>
      <c r="E44" s="158">
        <v>55.072358000000001</v>
      </c>
      <c r="F44" s="159">
        <f>D15</f>
        <v>54.263323282500018</v>
      </c>
      <c r="G44" s="93">
        <f t="shared" si="2"/>
        <v>-1.4690395452106597E-2</v>
      </c>
      <c r="H44" s="238">
        <v>350.734149</v>
      </c>
      <c r="I44" s="159">
        <v>374.2665107575001</v>
      </c>
      <c r="J44" s="160">
        <f t="shared" si="3"/>
        <v>6.7094583816815989E-2</v>
      </c>
      <c r="K44" s="9"/>
      <c r="Q44" s="146"/>
      <c r="R44" s="146"/>
      <c r="S44" s="146"/>
    </row>
    <row r="45" spans="2:19" s="1" customFormat="1">
      <c r="B45" s="8"/>
      <c r="C45" s="371" t="s">
        <v>64</v>
      </c>
      <c r="D45" s="372"/>
      <c r="E45" s="191">
        <f>SUM(E46:E47)</f>
        <v>149.93153653688037</v>
      </c>
      <c r="F45" s="192">
        <f>SUM(F46:F47)</f>
        <v>149.20093247579427</v>
      </c>
      <c r="G45" s="193">
        <f t="shared" si="2"/>
        <v>-4.872917852785319E-3</v>
      </c>
      <c r="H45" s="237">
        <f>SUM(H46:H47)</f>
        <v>1093.1202639981627</v>
      </c>
      <c r="I45" s="192">
        <f>SUM(I46:I47)</f>
        <v>968.03761023608763</v>
      </c>
      <c r="J45" s="193">
        <f t="shared" si="3"/>
        <v>-0.11442716586789514</v>
      </c>
      <c r="K45" s="9"/>
    </row>
    <row r="46" spans="2:19" s="1" customFormat="1">
      <c r="B46" s="8"/>
      <c r="C46" s="157" t="s">
        <v>66</v>
      </c>
      <c r="D46" s="132"/>
      <c r="E46" s="158">
        <v>44.383155362114543</v>
      </c>
      <c r="F46" s="159">
        <f>E12</f>
        <v>51.684275080359257</v>
      </c>
      <c r="G46" s="160">
        <f t="shared" si="2"/>
        <v>0.16450204269336255</v>
      </c>
      <c r="H46" s="238">
        <v>328.16610605639636</v>
      </c>
      <c r="I46" s="159">
        <v>361.04395265532463</v>
      </c>
      <c r="J46" s="160">
        <f t="shared" si="3"/>
        <v>0.10018660060304363</v>
      </c>
      <c r="K46" s="9"/>
    </row>
    <row r="47" spans="2:19" s="1" customFormat="1" ht="13.8" thickBot="1">
      <c r="B47" s="8"/>
      <c r="C47" s="161" t="s">
        <v>65</v>
      </c>
      <c r="D47" s="132"/>
      <c r="E47" s="162">
        <v>105.54838117476582</v>
      </c>
      <c r="F47" s="163">
        <f>E13</f>
        <v>97.516657395435004</v>
      </c>
      <c r="G47" s="303">
        <f t="shared" si="2"/>
        <v>-7.6095186775361201E-2</v>
      </c>
      <c r="H47" s="239">
        <v>764.95415794176631</v>
      </c>
      <c r="I47" s="163">
        <v>606.99365758076294</v>
      </c>
      <c r="J47" s="164">
        <f t="shared" si="3"/>
        <v>-0.20649668835845247</v>
      </c>
      <c r="K47" s="9"/>
    </row>
    <row r="48" spans="2:19" s="1" customFormat="1" ht="14.4" thickTop="1" thickBot="1">
      <c r="B48" s="8"/>
      <c r="C48" s="366" t="s">
        <v>108</v>
      </c>
      <c r="D48" s="367"/>
      <c r="E48" s="194">
        <f>SUM(E40,E45)</f>
        <v>4021.8753422316563</v>
      </c>
      <c r="F48" s="195">
        <f>SUM(F40,F45)</f>
        <v>4724.6631899087888</v>
      </c>
      <c r="G48" s="196">
        <f t="shared" si="2"/>
        <v>0.17474133031859962</v>
      </c>
      <c r="H48" s="240">
        <f>SUM(H40,H45)</f>
        <v>24989.142222581078</v>
      </c>
      <c r="I48" s="195">
        <f>SUM(I40,I45)</f>
        <v>28380.056233247313</v>
      </c>
      <c r="J48" s="196">
        <f t="shared" si="3"/>
        <v>0.13569549448568452</v>
      </c>
      <c r="K48" s="9"/>
    </row>
    <row r="49" spans="2:23" s="1" customFormat="1">
      <c r="B49" s="8"/>
      <c r="C49" s="265"/>
      <c r="D49" s="90"/>
      <c r="E49" s="91"/>
      <c r="F49" s="91"/>
      <c r="G49" s="95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5"/>
      <c r="H50" s="9"/>
      <c r="I50" s="9"/>
      <c r="J50" s="9"/>
      <c r="K50" s="9"/>
    </row>
    <row r="51" spans="2:23" s="1" customFormat="1">
      <c r="B51" s="8"/>
      <c r="C51" s="10" t="s">
        <v>120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60"/>
    </row>
    <row r="53" spans="2:23" s="1" customFormat="1" ht="13.8" thickBot="1">
      <c r="B53" s="8"/>
      <c r="C53" s="10"/>
      <c r="H53" s="9"/>
      <c r="I53" s="9"/>
      <c r="J53" s="9"/>
      <c r="K53" s="9"/>
      <c r="L53" s="260"/>
      <c r="M53" s="260"/>
    </row>
    <row r="54" spans="2:23" s="1" customFormat="1" ht="12.75" customHeight="1">
      <c r="B54" s="8"/>
      <c r="C54" s="149"/>
      <c r="D54" s="150"/>
      <c r="E54" s="376" t="s">
        <v>126</v>
      </c>
      <c r="F54" s="377"/>
      <c r="G54" s="378" t="s">
        <v>74</v>
      </c>
      <c r="H54" s="380" t="s">
        <v>127</v>
      </c>
      <c r="I54" s="381"/>
      <c r="J54" s="378" t="s">
        <v>74</v>
      </c>
      <c r="K54" s="9"/>
      <c r="L54" s="260"/>
      <c r="M54" s="260"/>
    </row>
    <row r="55" spans="2:23" s="1" customFormat="1" ht="12.75" customHeight="1">
      <c r="B55" s="8"/>
      <c r="C55" s="152" t="s">
        <v>75</v>
      </c>
      <c r="D55" s="153"/>
      <c r="E55" s="154">
        <v>2020</v>
      </c>
      <c r="F55" s="155">
        <v>2021</v>
      </c>
      <c r="G55" s="379"/>
      <c r="H55" s="241">
        <v>2020</v>
      </c>
      <c r="I55" s="94">
        <v>2021</v>
      </c>
      <c r="J55" s="379"/>
      <c r="K55" s="9"/>
      <c r="L55" s="260"/>
      <c r="M55" s="260"/>
    </row>
    <row r="56" spans="2:23" s="1" customFormat="1">
      <c r="B56" s="8"/>
      <c r="C56" s="371" t="s">
        <v>68</v>
      </c>
      <c r="D56" s="372"/>
      <c r="E56" s="191">
        <f>SUM(E57:E60)</f>
        <v>3871.9438056947765</v>
      </c>
      <c r="F56" s="192">
        <f>SUM(F57:F60)</f>
        <v>4575.4622574329933</v>
      </c>
      <c r="G56" s="193">
        <f>((F56/E56)-1)</f>
        <v>0.18169645197419859</v>
      </c>
      <c r="H56" s="237">
        <f>SUM(H57:H60)</f>
        <v>23896.021958582915</v>
      </c>
      <c r="I56" s="192">
        <f>SUM(I57:I60)</f>
        <v>27412.018623011223</v>
      </c>
      <c r="J56" s="193">
        <f>((I56/H56)-1)</f>
        <v>0.14713732145552538</v>
      </c>
      <c r="K56" s="9"/>
    </row>
    <row r="57" spans="2:23" s="1" customFormat="1" ht="26.4">
      <c r="B57" s="8"/>
      <c r="C57" s="369" t="s">
        <v>78</v>
      </c>
      <c r="D57" s="281" t="s">
        <v>79</v>
      </c>
      <c r="E57" s="327">
        <f>SUM(E43:E44)+21.865088</f>
        <v>239.62983100000002</v>
      </c>
      <c r="F57" s="328">
        <f>SUM(F43:F44)+37.0438101372734</f>
        <v>225.49604616227339</v>
      </c>
      <c r="G57" s="171">
        <f t="shared" ref="G57:G65" si="4">((F57/E57)-1)</f>
        <v>-5.8981741875562377E-2</v>
      </c>
      <c r="H57" s="329">
        <f>SUM(H43:H44)+127.403292</f>
        <v>1283.5827879999999</v>
      </c>
      <c r="I57" s="328">
        <f>SUM(I43:I44)+157.063029164773</f>
        <v>1395.6467808872731</v>
      </c>
      <c r="J57" s="171">
        <f t="shared" ref="J57:J65" si="5">((I57/H57)-1)</f>
        <v>8.730562137085407E-2</v>
      </c>
      <c r="K57" s="9"/>
      <c r="L57" s="260"/>
      <c r="Q57" s="146"/>
      <c r="R57" s="146"/>
      <c r="T57" s="146">
        <v>2020</v>
      </c>
      <c r="U57" s="146">
        <v>2021</v>
      </c>
      <c r="V57" s="146"/>
      <c r="W57" s="146"/>
    </row>
    <row r="58" spans="2:23" s="1" customFormat="1" ht="13.8">
      <c r="B58" s="8"/>
      <c r="C58" s="370"/>
      <c r="D58" s="282" t="s">
        <v>110</v>
      </c>
      <c r="E58" s="270">
        <v>143.43081614250008</v>
      </c>
      <c r="F58" s="332">
        <v>164.32338348749994</v>
      </c>
      <c r="G58" s="280">
        <f t="shared" si="4"/>
        <v>0.14566303049020424</v>
      </c>
      <c r="H58" s="272">
        <v>1270.3747325025004</v>
      </c>
      <c r="I58" s="271">
        <v>1355.7110774299999</v>
      </c>
      <c r="J58" s="280">
        <f t="shared" si="5"/>
        <v>6.7174151645315039E-2</v>
      </c>
      <c r="K58" s="9"/>
      <c r="L58" s="260"/>
      <c r="M58" s="260"/>
      <c r="Q58" s="375" t="s">
        <v>80</v>
      </c>
      <c r="R58" s="146" t="s">
        <v>66</v>
      </c>
      <c r="T58" s="147">
        <f>SUM(E60,E64)</f>
        <v>2100.4773339143903</v>
      </c>
      <c r="U58" s="147">
        <f>SUM(F60,F64)</f>
        <v>2095.3232578671218</v>
      </c>
      <c r="V58" s="148">
        <f t="shared" ref="V58:W61" si="6">T58/T$64</f>
        <v>0.52226316212696888</v>
      </c>
      <c r="W58" s="148">
        <f t="shared" si="6"/>
        <v>0.44348627058589823</v>
      </c>
    </row>
    <row r="59" spans="2:23" s="1" customFormat="1">
      <c r="B59" s="8"/>
      <c r="C59" s="368" t="s">
        <v>80</v>
      </c>
      <c r="D59" s="283" t="s">
        <v>81</v>
      </c>
      <c r="E59" s="158">
        <f>SUM(E42:E44)-E57</f>
        <v>1432.7889800000003</v>
      </c>
      <c r="F59" s="159">
        <f>SUM(F42:F44)-F57</f>
        <v>2142.0038449964577</v>
      </c>
      <c r="G59" s="279">
        <f t="shared" si="4"/>
        <v>0.49498905623663947</v>
      </c>
      <c r="H59" s="238">
        <f>SUM(H42:H44)-H57</f>
        <v>5312.8888980000002</v>
      </c>
      <c r="I59" s="159">
        <f>SUM(I42:I44)-I57</f>
        <v>8398.0495591969575</v>
      </c>
      <c r="J59" s="279">
        <f t="shared" si="5"/>
        <v>0.58069361517391127</v>
      </c>
      <c r="K59" s="9"/>
      <c r="Q59" s="375"/>
      <c r="R59" s="146" t="s">
        <v>65</v>
      </c>
      <c r="T59" s="147">
        <f>SUM(E59,E63)</f>
        <v>1517.9976491747661</v>
      </c>
      <c r="U59" s="147">
        <f>SUM(F59,F63)</f>
        <v>2226.8433369304862</v>
      </c>
      <c r="V59" s="148">
        <f t="shared" si="6"/>
        <v>0.37743528080919092</v>
      </c>
      <c r="W59" s="148">
        <f t="shared" si="6"/>
        <v>0.47132319224081592</v>
      </c>
    </row>
    <row r="60" spans="2:23" s="1" customFormat="1">
      <c r="B60" s="8"/>
      <c r="C60" s="368"/>
      <c r="D60" s="284" t="s">
        <v>41</v>
      </c>
      <c r="E60" s="158">
        <f>E41-E58</f>
        <v>2056.0941785522759</v>
      </c>
      <c r="F60" s="159">
        <f>F41-F58</f>
        <v>2043.6389827867624</v>
      </c>
      <c r="G60" s="160">
        <f t="shared" si="4"/>
        <v>-6.0576971110746225E-3</v>
      </c>
      <c r="H60" s="238">
        <f>H41-H58</f>
        <v>16029.175540080414</v>
      </c>
      <c r="I60" s="159">
        <f>I41-I58</f>
        <v>16262.611205496994</v>
      </c>
      <c r="J60" s="279">
        <f t="shared" si="5"/>
        <v>1.4563173560167453E-2</v>
      </c>
      <c r="K60" s="9"/>
      <c r="Q60" s="375" t="s">
        <v>78</v>
      </c>
      <c r="R60" s="146" t="s">
        <v>66</v>
      </c>
      <c r="T60" s="147">
        <f>E58</f>
        <v>143.43081614250008</v>
      </c>
      <c r="U60" s="147">
        <f>F58</f>
        <v>164.32338348749994</v>
      </c>
      <c r="V60" s="148">
        <f t="shared" si="6"/>
        <v>3.5662670753716909E-2</v>
      </c>
      <c r="W60" s="148">
        <f t="shared" si="6"/>
        <v>3.4779914860062711E-2</v>
      </c>
    </row>
    <row r="61" spans="2:23" s="1" customFormat="1">
      <c r="B61" s="8"/>
      <c r="C61" s="371" t="s">
        <v>64</v>
      </c>
      <c r="D61" s="372"/>
      <c r="E61" s="191">
        <f>SUM(E62:E64)</f>
        <v>149.93153653688034</v>
      </c>
      <c r="F61" s="192">
        <f>SUM(F62:F64)</f>
        <v>149.20093247579427</v>
      </c>
      <c r="G61" s="193">
        <f t="shared" si="4"/>
        <v>-4.8729178527850969E-3</v>
      </c>
      <c r="H61" s="237">
        <f>SUM(H62:H64)</f>
        <v>1093.1202639981627</v>
      </c>
      <c r="I61" s="192">
        <f>SUM(I62:I64)</f>
        <v>968.03761023608763</v>
      </c>
      <c r="J61" s="193">
        <f t="shared" si="5"/>
        <v>-0.11442716586789514</v>
      </c>
      <c r="K61" s="9"/>
      <c r="Q61" s="375"/>
      <c r="R61" s="146" t="s">
        <v>89</v>
      </c>
      <c r="T61" s="147">
        <f>E57+E62</f>
        <v>259.96954300000004</v>
      </c>
      <c r="U61" s="147">
        <f>F57+F62</f>
        <v>238.17321162367995</v>
      </c>
      <c r="V61" s="148">
        <f t="shared" si="6"/>
        <v>6.4638886310123239E-2</v>
      </c>
      <c r="W61" s="148">
        <f t="shared" si="6"/>
        <v>5.0410622313223137E-2</v>
      </c>
    </row>
    <row r="62" spans="2:23" s="1" customFormat="1">
      <c r="B62" s="8"/>
      <c r="C62" s="315" t="s">
        <v>78</v>
      </c>
      <c r="D62" s="316" t="s">
        <v>114</v>
      </c>
      <c r="E62" s="356">
        <v>20.339711999999999</v>
      </c>
      <c r="F62" s="330">
        <v>12.677165461406551</v>
      </c>
      <c r="G62" s="317">
        <f t="shared" si="4"/>
        <v>-0.37672836953608035</v>
      </c>
      <c r="H62" s="331">
        <v>104.406807</v>
      </c>
      <c r="I62" s="330">
        <v>81.553792461406545</v>
      </c>
      <c r="J62" s="317">
        <f t="shared" si="5"/>
        <v>-0.21888433518126316</v>
      </c>
      <c r="K62" s="9"/>
      <c r="Q62" s="146"/>
      <c r="R62" s="146"/>
      <c r="T62" s="146"/>
      <c r="U62" s="146"/>
      <c r="V62" s="146"/>
      <c r="W62" s="146"/>
    </row>
    <row r="63" spans="2:23" s="1" customFormat="1">
      <c r="B63" s="8"/>
      <c r="C63" s="373" t="s">
        <v>80</v>
      </c>
      <c r="D63" s="283" t="s">
        <v>81</v>
      </c>
      <c r="E63" s="401">
        <f>E47-E62</f>
        <v>85.208669174765816</v>
      </c>
      <c r="F63" s="402">
        <f>F47-F62</f>
        <v>84.839491934028459</v>
      </c>
      <c r="G63" s="337">
        <f t="shared" ref="G63" si="7">((F63/E63)-1)</f>
        <v>-4.3326253574054174E-3</v>
      </c>
      <c r="H63" s="238">
        <f>H47-H62</f>
        <v>660.54735094176635</v>
      </c>
      <c r="I63" s="159">
        <f>I47-I62</f>
        <v>525.43986511935645</v>
      </c>
      <c r="J63" s="337">
        <f t="shared" ref="J63" si="8">((I63/H63)-1)</f>
        <v>-0.20453868391082375</v>
      </c>
      <c r="K63" s="9"/>
      <c r="Q63" s="146"/>
      <c r="R63" s="146"/>
      <c r="T63" s="146"/>
      <c r="U63" s="146"/>
      <c r="V63" s="146"/>
      <c r="W63" s="146"/>
    </row>
    <row r="64" spans="2:23" s="1" customFormat="1" ht="13.8" thickBot="1">
      <c r="B64" s="8"/>
      <c r="C64" s="374"/>
      <c r="D64" s="285" t="s">
        <v>41</v>
      </c>
      <c r="E64" s="162">
        <f>E46</f>
        <v>44.383155362114543</v>
      </c>
      <c r="F64" s="163">
        <f>F46</f>
        <v>51.684275080359257</v>
      </c>
      <c r="G64" s="164">
        <f t="shared" si="4"/>
        <v>0.16450204269336255</v>
      </c>
      <c r="H64" s="239">
        <f>H46</f>
        <v>328.16610605639636</v>
      </c>
      <c r="I64" s="163">
        <f>I46</f>
        <v>361.04395265532463</v>
      </c>
      <c r="J64" s="164">
        <f t="shared" si="5"/>
        <v>0.10018660060304363</v>
      </c>
      <c r="K64" s="9"/>
      <c r="Q64" s="146"/>
      <c r="R64" s="146"/>
      <c r="T64" s="147">
        <f>SUM(T58:T61)</f>
        <v>4021.8753422316568</v>
      </c>
      <c r="U64" s="147">
        <f>SUM(U58:U61)</f>
        <v>4724.6631899087879</v>
      </c>
      <c r="V64" s="146"/>
      <c r="W64" s="146"/>
    </row>
    <row r="65" spans="2:22" s="1" customFormat="1" ht="14.4" thickTop="1" thickBot="1">
      <c r="B65" s="8"/>
      <c r="C65" s="366" t="s">
        <v>108</v>
      </c>
      <c r="D65" s="367"/>
      <c r="E65" s="194">
        <f>SUM(E56,E61)</f>
        <v>4021.8753422316568</v>
      </c>
      <c r="F65" s="195">
        <f>SUM(F56,F61)</f>
        <v>4724.6631899087879</v>
      </c>
      <c r="G65" s="196">
        <f t="shared" si="4"/>
        <v>0.17474133031859918</v>
      </c>
      <c r="H65" s="240">
        <f>SUM(H56,H61)</f>
        <v>24989.142222581078</v>
      </c>
      <c r="I65" s="195">
        <f>SUM(I56,I61)</f>
        <v>28380.056233247309</v>
      </c>
      <c r="J65" s="196">
        <f t="shared" si="5"/>
        <v>0.1356954944856843</v>
      </c>
      <c r="K65" s="9"/>
      <c r="Q65" s="146"/>
      <c r="R65" s="146"/>
      <c r="S65" s="146"/>
      <c r="T65" s="146"/>
      <c r="U65" s="146"/>
      <c r="V65" s="146"/>
    </row>
    <row r="66" spans="2:22" s="1" customFormat="1">
      <c r="B66" s="8"/>
      <c r="C66" s="265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5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topLeftCell="A64" zoomScale="120" zoomScaleNormal="100" zoomScaleSheetLayoutView="120" workbookViewId="0">
      <selection activeCell="C73" sqref="C73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2259.6466413546218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2074.8893594404885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151.73686448004446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49.720975598679956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134.18891274249998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54.263323282500018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6">
        <f t="shared" si="0"/>
        <v>0.21711300995307381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4724.6631899087879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1"/>
      <c r="G23" s="264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30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1"/>
      <c r="D25" s="131"/>
      <c r="E25" s="167"/>
      <c r="F25" s="167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5" t="s">
        <v>61</v>
      </c>
      <c r="D26" s="390" t="s">
        <v>126</v>
      </c>
      <c r="E26" s="390"/>
      <c r="F26" s="386" t="s">
        <v>74</v>
      </c>
      <c r="G26" s="384" t="s">
        <v>127</v>
      </c>
      <c r="H26" s="385"/>
      <c r="I26" s="386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6"/>
      <c r="D27" s="96">
        <v>2020</v>
      </c>
      <c r="E27" s="97">
        <v>2021</v>
      </c>
      <c r="F27" s="387"/>
      <c r="G27" s="242">
        <v>2020</v>
      </c>
      <c r="H27" s="97">
        <v>2021</v>
      </c>
      <c r="I27" s="387"/>
      <c r="J27" s="20"/>
      <c r="K27" s="54"/>
      <c r="L27" s="54"/>
      <c r="M27" s="55" t="s">
        <v>85</v>
      </c>
      <c r="N27" s="70">
        <f t="shared" ref="N27:O29" si="1">D28</f>
        <v>2243.9081500568905</v>
      </c>
      <c r="O27" s="70">
        <f t="shared" si="1"/>
        <v>2259.6466413546218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8" t="s">
        <v>85</v>
      </c>
      <c r="D28" s="169">
        <f>'Resumen (G)'!E41+'Resumen (G)'!E46</f>
        <v>2243.9081500568905</v>
      </c>
      <c r="E28" s="170">
        <f>'Resumen (G)'!F41+'Resumen (G)'!F46</f>
        <v>2259.6466413546218</v>
      </c>
      <c r="F28" s="171">
        <f>+E28/D28-1</f>
        <v>7.0138750096933045E-3</v>
      </c>
      <c r="G28" s="255">
        <f>'Resumen (G)'!H41+'Resumen (G)'!H46</f>
        <v>17627.71637863931</v>
      </c>
      <c r="H28" s="170">
        <f>'Resumen (G)'!I41+'Resumen (G)'!I46</f>
        <v>17979.366235582318</v>
      </c>
      <c r="I28" s="361">
        <f>+H28/G28-1</f>
        <v>1.9948690425330762E-2</v>
      </c>
      <c r="J28" s="304"/>
      <c r="K28" s="54"/>
      <c r="L28" s="54"/>
      <c r="M28" s="55" t="s">
        <v>2</v>
      </c>
      <c r="N28" s="70">
        <f t="shared" si="1"/>
        <v>1437.598714</v>
      </c>
      <c r="O28" s="70">
        <f t="shared" si="1"/>
        <v>2074.8893594404885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2" t="s">
        <v>2</v>
      </c>
      <c r="D29" s="173">
        <v>1437.598714</v>
      </c>
      <c r="E29" s="174">
        <v>2074.8893594404885</v>
      </c>
      <c r="F29" s="175">
        <f t="shared" ref="F29:F35" si="2">+E29/D29-1</f>
        <v>0.44330218108451125</v>
      </c>
      <c r="G29" s="256">
        <v>5436.6653449999994</v>
      </c>
      <c r="H29" s="174">
        <v>8363.193243582491</v>
      </c>
      <c r="I29" s="175">
        <f t="shared" ref="I29:I35" si="3">+H29/G29-1</f>
        <v>0.53829465543137855</v>
      </c>
      <c r="J29" s="262"/>
      <c r="K29" s="263"/>
      <c r="L29" s="54"/>
      <c r="M29" s="55" t="s">
        <v>84</v>
      </c>
      <c r="N29" s="70">
        <f t="shared" si="1"/>
        <v>80.223935174764847</v>
      </c>
      <c r="O29" s="70">
        <f t="shared" si="1"/>
        <v>151.73686448004446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2" t="s">
        <v>3</v>
      </c>
      <c r="D30" s="173">
        <f>'Resumen (G)'!E32-SUM('TipoRecurso (G)'!D28:D29,'TipoRecurso (G)'!D31:D34)</f>
        <v>80.223935174764847</v>
      </c>
      <c r="E30" s="174">
        <f>'Resumen (G)'!F32-SUM('TipoRecurso (G)'!E28:E29,'TipoRecurso (G)'!E31:E34)</f>
        <v>151.73686448004446</v>
      </c>
      <c r="F30" s="175">
        <f t="shared" si="2"/>
        <v>0.89141637280060326</v>
      </c>
      <c r="G30" s="256">
        <f>'Resumen (G)'!H32-SUM('TipoRecurso (G)'!G28:G29,'TipoRecurso (G)'!G31:G34)</f>
        <v>535.36790394176933</v>
      </c>
      <c r="H30" s="174">
        <f>'Resumen (G)'!I32-SUM('TipoRecurso (G)'!H28:H29,'TipoRecurso (G)'!H31:H34)</f>
        <v>558.9607780838669</v>
      </c>
      <c r="I30" s="175">
        <f t="shared" si="3"/>
        <v>4.4068525528687008E-2</v>
      </c>
      <c r="J30" s="304"/>
      <c r="K30" s="54"/>
      <c r="L30" s="54"/>
      <c r="M30" s="55" t="s">
        <v>4</v>
      </c>
      <c r="N30" s="100">
        <f>D34</f>
        <v>0.17499999999999999</v>
      </c>
      <c r="O30" s="100">
        <f>E34</f>
        <v>0.21711300995307381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2" t="s">
        <v>6</v>
      </c>
      <c r="D31" s="173">
        <f>'Resumen (G)'!E57+'Resumen (G)'!E62-SUM('TipoRecurso (G)'!D32:D33)</f>
        <v>42.204800000000034</v>
      </c>
      <c r="E31" s="174">
        <f>'Resumen (G)'!F57+'Resumen (G)'!F62-SUM('TipoRecurso (G)'!E32:E33)</f>
        <v>49.720975598679956</v>
      </c>
      <c r="F31" s="175">
        <f t="shared" si="2"/>
        <v>0.17808817003468591</v>
      </c>
      <c r="G31" s="256">
        <f>'Resumen (G)'!H57+'Resumen (G)'!H62-SUM('TipoRecurso (G)'!G32:G33)</f>
        <v>231.81009900000004</v>
      </c>
      <c r="H31" s="174">
        <f>'Resumen (G)'!I57+'Resumen (G)'!I62-SUM('TipoRecurso (G)'!H32:H33)</f>
        <v>238.61682162617967</v>
      </c>
      <c r="I31" s="175">
        <f t="shared" si="3"/>
        <v>2.9363356711131106E-2</v>
      </c>
      <c r="J31" s="20"/>
      <c r="K31" s="54"/>
      <c r="L31" s="54"/>
      <c r="M31" s="55" t="s">
        <v>90</v>
      </c>
      <c r="N31" s="70">
        <f t="shared" ref="N31:O33" si="4">D31</f>
        <v>42.204800000000034</v>
      </c>
      <c r="O31" s="70">
        <f t="shared" si="4"/>
        <v>49.720975598679956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2" t="s">
        <v>14</v>
      </c>
      <c r="D32" s="173">
        <f>'Resumen (G)'!E43</f>
        <v>162.692385</v>
      </c>
      <c r="E32" s="174">
        <f>'Resumen (G)'!F43</f>
        <v>134.18891274249998</v>
      </c>
      <c r="F32" s="175">
        <f t="shared" si="2"/>
        <v>-0.17519856419524504</v>
      </c>
      <c r="G32" s="256">
        <f>'Resumen (G)'!H43</f>
        <v>805.44534699999997</v>
      </c>
      <c r="H32" s="174">
        <f>'Resumen (G)'!I43</f>
        <v>864.317240965</v>
      </c>
      <c r="I32" s="175">
        <f t="shared" si="3"/>
        <v>7.3092350938865236E-2</v>
      </c>
      <c r="J32" s="20"/>
      <c r="K32" s="54"/>
      <c r="L32" s="54"/>
      <c r="M32" s="55" t="s">
        <v>14</v>
      </c>
      <c r="N32" s="70">
        <f t="shared" si="4"/>
        <v>162.692385</v>
      </c>
      <c r="O32" s="70">
        <f t="shared" si="4"/>
        <v>134.18891274249998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2" t="s">
        <v>5</v>
      </c>
      <c r="D33" s="173">
        <f>'Resumen (G)'!E44</f>
        <v>55.072358000000001</v>
      </c>
      <c r="E33" s="174">
        <f>'Resumen (G)'!F44</f>
        <v>54.263323282500018</v>
      </c>
      <c r="F33" s="175">
        <f t="shared" si="2"/>
        <v>-1.4690395452106597E-2</v>
      </c>
      <c r="G33" s="256">
        <f>'Resumen (G)'!H44</f>
        <v>350.734149</v>
      </c>
      <c r="H33" s="174">
        <f>'Resumen (G)'!I44</f>
        <v>374.2665107575001</v>
      </c>
      <c r="I33" s="175">
        <f t="shared" si="3"/>
        <v>6.7094583816815989E-2</v>
      </c>
      <c r="J33" s="20"/>
      <c r="K33" s="54"/>
      <c r="L33" s="54"/>
      <c r="M33" s="55" t="s">
        <v>5</v>
      </c>
      <c r="N33" s="70">
        <f t="shared" si="4"/>
        <v>55.072358000000001</v>
      </c>
      <c r="O33" s="70">
        <f t="shared" si="4"/>
        <v>54.263323282500018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6" t="s">
        <v>4</v>
      </c>
      <c r="D34" s="362">
        <v>0.17499999999999999</v>
      </c>
      <c r="E34" s="363">
        <v>0.21711300995307381</v>
      </c>
      <c r="F34" s="177">
        <f t="shared" si="2"/>
        <v>0.24064577116042174</v>
      </c>
      <c r="G34" s="358">
        <v>1.403</v>
      </c>
      <c r="H34" s="357">
        <v>1.3354026499530738</v>
      </c>
      <c r="I34" s="177">
        <f t="shared" si="3"/>
        <v>-4.8180577367730737E-2</v>
      </c>
      <c r="J34" s="20"/>
      <c r="K34" s="54"/>
      <c r="L34" s="54"/>
      <c r="M34" s="98"/>
      <c r="N34" s="99">
        <f>SUM(N27:N33)</f>
        <v>4021.8753422316554</v>
      </c>
      <c r="O34" s="99">
        <f>SUM(O27:O33)</f>
        <v>4724.6631899087879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7" t="s">
        <v>108</v>
      </c>
      <c r="D35" s="308">
        <f>SUM(D28:D34)</f>
        <v>4021.8753422316554</v>
      </c>
      <c r="E35" s="309">
        <f>SUM(E28:E34)</f>
        <v>4724.6631899087879</v>
      </c>
      <c r="F35" s="310">
        <f t="shared" si="2"/>
        <v>0.17474133031859962</v>
      </c>
      <c r="G35" s="311">
        <f>SUM(G28:G34)</f>
        <v>24989.142222581075</v>
      </c>
      <c r="H35" s="309">
        <f>SUM(H28:H34)</f>
        <v>28380.056233247313</v>
      </c>
      <c r="I35" s="312">
        <f t="shared" si="3"/>
        <v>0.13569549448568452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8"/>
      <c r="D36" s="178"/>
      <c r="E36" s="179"/>
      <c r="F36" s="180"/>
      <c r="G36" s="17"/>
      <c r="H36" s="17"/>
      <c r="I36" s="18"/>
      <c r="J36" s="20"/>
      <c r="K36" s="54"/>
      <c r="L36" s="54"/>
      <c r="M36" s="55"/>
      <c r="N36" s="99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1"/>
      <c r="N39" s="231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1">
        <f t="shared" ref="M40:N46" si="5">N27/N$34</f>
        <v>0.55792583288068598</v>
      </c>
      <c r="N40" s="231">
        <f t="shared" si="5"/>
        <v>0.47826618544596095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1">
        <f t="shared" si="5"/>
        <v>0.35744487127796115</v>
      </c>
      <c r="N41" s="231">
        <f t="shared" si="5"/>
        <v>0.43916132770525496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1">
        <f t="shared" si="5"/>
        <v>1.9946897491420069E-2</v>
      </c>
      <c r="N42" s="231">
        <f t="shared" si="5"/>
        <v>3.2115911416528684E-2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1">
        <f t="shared" si="5"/>
        <v>4.351203980949248E-5</v>
      </c>
      <c r="N43" s="231">
        <f t="shared" si="5"/>
        <v>4.5953119032229953E-5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1">
        <f t="shared" si="5"/>
        <v>1.0493811072866685E-2</v>
      </c>
      <c r="N44" s="231">
        <f t="shared" si="5"/>
        <v>1.0523707955495521E-2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1">
        <f t="shared" si="5"/>
        <v>4.0451871616121592E-2</v>
      </c>
      <c r="N45" s="231">
        <f t="shared" si="5"/>
        <v>2.8401794445180456E-2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1">
        <f t="shared" si="5"/>
        <v>1.3693203621134983E-2</v>
      </c>
      <c r="N46" s="231">
        <f t="shared" si="5"/>
        <v>1.1485119912547163E-2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1">
        <f>N34/N$34</f>
        <v>1</v>
      </c>
      <c r="N47" s="231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2">
        <f>SUM(M39:M46)</f>
        <v>1</v>
      </c>
      <c r="N49" s="232">
        <f>SUM(N39:N46)</f>
        <v>1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8" t="s">
        <v>91</v>
      </c>
      <c r="D53" s="390" t="s">
        <v>126</v>
      </c>
      <c r="E53" s="390"/>
      <c r="F53" s="386" t="s">
        <v>74</v>
      </c>
      <c r="G53" s="384" t="s">
        <v>127</v>
      </c>
      <c r="H53" s="385"/>
      <c r="I53" s="386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9"/>
      <c r="D54" s="96">
        <v>2020</v>
      </c>
      <c r="E54" s="97">
        <v>2021</v>
      </c>
      <c r="F54" s="387"/>
      <c r="G54" s="242">
        <v>2020</v>
      </c>
      <c r="H54" s="97">
        <v>2021</v>
      </c>
      <c r="I54" s="387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90" t="s">
        <v>42</v>
      </c>
      <c r="D55" s="291">
        <f>SUM(D28:D30,D34)</f>
        <v>3761.9057992316557</v>
      </c>
      <c r="E55" s="292">
        <f>SUM(E28:E30,E34)</f>
        <v>4486.489978285108</v>
      </c>
      <c r="F55" s="293">
        <f>+E55/D55-1</f>
        <v>0.19261093119382311</v>
      </c>
      <c r="G55" s="294">
        <f>SUM(G28:G30,G34)</f>
        <v>23601.152627581076</v>
      </c>
      <c r="H55" s="292">
        <f>SUM(H28:H30,H34)</f>
        <v>26902.855659898632</v>
      </c>
      <c r="I55" s="293">
        <f>+H55/G55-1</f>
        <v>0.13989583832694175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5" t="s">
        <v>104</v>
      </c>
      <c r="D56" s="296">
        <f>SUM(D31:D33)</f>
        <v>259.96954300000004</v>
      </c>
      <c r="E56" s="297">
        <f>SUM(E31:E33)</f>
        <v>238.17321162367995</v>
      </c>
      <c r="F56" s="298">
        <f>+E56/D56-1</f>
        <v>-8.3841865184646203E-2</v>
      </c>
      <c r="G56" s="299">
        <f>SUM(G31:G33)</f>
        <v>1387.989595</v>
      </c>
      <c r="H56" s="297">
        <f>SUM(H31:H33)</f>
        <v>1477.2005733486797</v>
      </c>
      <c r="I56" s="300">
        <f>+H56/G56-1</f>
        <v>6.4273520975983711E-2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3" t="s">
        <v>71</v>
      </c>
      <c r="D57" s="101">
        <f>SUM(D55:D56)</f>
        <v>4021.8753422316558</v>
      </c>
      <c r="E57" s="102">
        <f>SUM(E55:E56)</f>
        <v>4724.6631899087879</v>
      </c>
      <c r="F57" s="103">
        <f>+E57/D57-1</f>
        <v>0.1747413303185994</v>
      </c>
      <c r="G57" s="257">
        <f>SUM(G55:G56)</f>
        <v>24989.142222581075</v>
      </c>
      <c r="H57" s="102">
        <f>SUM(H55:H56)</f>
        <v>28380.056233247313</v>
      </c>
      <c r="I57" s="103">
        <f>+H57/G57-1</f>
        <v>0.13569549448568452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6" t="s">
        <v>8</v>
      </c>
      <c r="D58" s="104">
        <f>+D56/D57</f>
        <v>6.4638886310123253E-2</v>
      </c>
      <c r="E58" s="105">
        <f>+E56/E57</f>
        <v>5.0410622313223137E-2</v>
      </c>
      <c r="F58" s="106"/>
      <c r="G58" s="258">
        <f>+G56/G57</f>
        <v>5.5543707048326112E-2</v>
      </c>
      <c r="H58" s="105">
        <f>+H56/H57</f>
        <v>5.2050657025060267E-2</v>
      </c>
      <c r="I58" s="106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6" t="s">
        <v>105</v>
      </c>
      <c r="D59" s="124"/>
      <c r="E59" s="124"/>
      <c r="F59" s="125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3761.9057992316557</v>
      </c>
      <c r="N63" s="76">
        <f>E55</f>
        <v>4486.489978285108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259.96954300000004</v>
      </c>
      <c r="N64" s="76">
        <f>E56</f>
        <v>238.17321162367995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6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2020</v>
      </c>
      <c r="O75" s="55">
        <v>2021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2"/>
      <c r="D76" s="390" t="s">
        <v>126</v>
      </c>
      <c r="E76" s="390"/>
      <c r="F76" s="107" t="s">
        <v>74</v>
      </c>
      <c r="G76" s="384" t="s">
        <v>127</v>
      </c>
      <c r="H76" s="385"/>
      <c r="I76" s="229" t="s">
        <v>74</v>
      </c>
      <c r="J76" s="19"/>
      <c r="K76" s="57"/>
      <c r="L76" s="57"/>
      <c r="M76" s="55" t="s">
        <v>96</v>
      </c>
      <c r="N76" s="70">
        <f>D78</f>
        <v>7.9332501075000019</v>
      </c>
      <c r="O76" s="70">
        <f>E78</f>
        <v>1.7900440899999999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7" t="s">
        <v>95</v>
      </c>
      <c r="D77" s="128">
        <v>2020</v>
      </c>
      <c r="E77" s="234">
        <v>2021</v>
      </c>
      <c r="F77" s="108"/>
      <c r="G77" s="352">
        <v>2020</v>
      </c>
      <c r="H77" s="97">
        <v>2021</v>
      </c>
      <c r="I77" s="230"/>
      <c r="J77" s="19"/>
      <c r="K77" s="57"/>
      <c r="L77" s="57"/>
      <c r="M77" s="55" t="s">
        <v>97</v>
      </c>
      <c r="N77" s="70">
        <f>D79</f>
        <v>3864.010555587276</v>
      </c>
      <c r="O77" s="70">
        <f>E79</f>
        <v>4573.6722133429939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7" t="s">
        <v>96</v>
      </c>
      <c r="D78" s="158">
        <v>7.9332501075000019</v>
      </c>
      <c r="E78" s="335">
        <v>1.7900440899999999</v>
      </c>
      <c r="F78" s="160">
        <f>((E78/D78)-1)</f>
        <v>-0.77436182324471114</v>
      </c>
      <c r="G78" s="238">
        <v>22.550587550000003</v>
      </c>
      <c r="H78" s="335">
        <v>21.537922792499998</v>
      </c>
      <c r="I78" s="160">
        <f>((H78/G78)-1)</f>
        <v>-4.4906357994206836E-2</v>
      </c>
      <c r="J78" s="19"/>
      <c r="K78" s="261"/>
      <c r="L78" s="57"/>
    </row>
    <row r="79" spans="2:28" ht="16.5" customHeight="1" thickBot="1">
      <c r="C79" s="301" t="s">
        <v>97</v>
      </c>
      <c r="D79" s="162">
        <f>'Resumen (G)'!E40-D78</f>
        <v>3864.010555587276</v>
      </c>
      <c r="E79" s="333">
        <f>'Resumen (G)'!F40-E78</f>
        <v>4573.6722133429939</v>
      </c>
      <c r="F79" s="164">
        <f>((E79/D79)-1)</f>
        <v>0.18365934759923541</v>
      </c>
      <c r="G79" s="239">
        <f>'Resumen (G)'!H40-G78</f>
        <v>23873.471371032916</v>
      </c>
      <c r="H79" s="333">
        <f>'Resumen (G)'!I40-H78</f>
        <v>27390.480700218726</v>
      </c>
      <c r="I79" s="164">
        <f>((H79/G79)-1)</f>
        <v>0.14731872355409537</v>
      </c>
      <c r="J79" s="19"/>
      <c r="K79" s="57"/>
      <c r="L79" s="57"/>
      <c r="M79" s="70"/>
      <c r="N79" s="70"/>
      <c r="O79" s="70"/>
    </row>
    <row r="80" spans="2:28" ht="14.4" thickTop="1" thickBot="1">
      <c r="C80" s="129" t="s">
        <v>94</v>
      </c>
      <c r="D80" s="233">
        <f>SUM(D78:D79)</f>
        <v>3871.9438056947761</v>
      </c>
      <c r="E80" s="334">
        <f>SUM(E78:E79)</f>
        <v>4575.4622574329942</v>
      </c>
      <c r="F80" s="130"/>
      <c r="G80" s="259">
        <f>SUM(G78:G79)</f>
        <v>23896.021958582915</v>
      </c>
      <c r="H80" s="334">
        <f>SUM(H78:H79)</f>
        <v>27412.018623011227</v>
      </c>
      <c r="I80" s="130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zoomScaleNormal="100" zoomScaleSheetLayoutView="100" workbookViewId="0">
      <selection activeCell="L56" sqref="L56:M58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9" t="s">
        <v>44</v>
      </c>
      <c r="D8" s="398" t="s">
        <v>126</v>
      </c>
      <c r="E8" s="399"/>
      <c r="F8" s="386" t="s">
        <v>74</v>
      </c>
      <c r="G8" s="384" t="s">
        <v>127</v>
      </c>
      <c r="H8" s="385"/>
      <c r="I8" s="386" t="s">
        <v>74</v>
      </c>
      <c r="J8" s="26"/>
    </row>
    <row r="9" spans="2:13" s="1" customFormat="1" ht="13.5" customHeight="1">
      <c r="B9" s="19"/>
      <c r="C9" s="210"/>
      <c r="D9" s="111">
        <v>2020</v>
      </c>
      <c r="E9" s="97">
        <v>2021</v>
      </c>
      <c r="F9" s="387"/>
      <c r="G9" s="242">
        <v>2020</v>
      </c>
      <c r="H9" s="97">
        <v>2021</v>
      </c>
      <c r="I9" s="387"/>
      <c r="J9" s="26"/>
    </row>
    <row r="10" spans="2:13">
      <c r="C10" s="197" t="s">
        <v>10</v>
      </c>
      <c r="D10" s="198">
        <f>'Por Región (G)'!O8</f>
        <v>278.17090726924954</v>
      </c>
      <c r="E10" s="199">
        <f>'Por Región (G)'!P8</f>
        <v>360.38881231373472</v>
      </c>
      <c r="F10" s="200">
        <f>+E10/D10-1</f>
        <v>0.29556615338247472</v>
      </c>
      <c r="G10" s="347">
        <f>'Por Región (G)'!Q8</f>
        <v>1730.2638540788548</v>
      </c>
      <c r="H10" s="199">
        <f>'Por Región (G)'!R8</f>
        <v>1932.4377921217588</v>
      </c>
      <c r="I10" s="200">
        <f>+H10/G10-1</f>
        <v>0.11684572706428975</v>
      </c>
      <c r="J10" s="26"/>
      <c r="L10" s="146" t="s">
        <v>9</v>
      </c>
      <c r="M10" s="235">
        <f>E11</f>
        <v>3847.561850960386</v>
      </c>
    </row>
    <row r="11" spans="2:13">
      <c r="C11" s="201" t="s">
        <v>9</v>
      </c>
      <c r="D11" s="202">
        <f>'Por Región (G)'!O9</f>
        <v>3157.9060572839635</v>
      </c>
      <c r="E11" s="203">
        <f>'Por Región (G)'!P9</f>
        <v>3847.561850960386</v>
      </c>
      <c r="F11" s="204">
        <f>+E11/D11-1</f>
        <v>0.21839021844417328</v>
      </c>
      <c r="G11" s="348">
        <f>'Por Región (G)'!Q9</f>
        <v>19491.092011298468</v>
      </c>
      <c r="H11" s="203">
        <f>'Por Región (G)'!R9</f>
        <v>22567.885347509891</v>
      </c>
      <c r="I11" s="204">
        <f>+H11/G11-1</f>
        <v>0.15785638559542425</v>
      </c>
      <c r="J11" s="26"/>
      <c r="L11" s="146" t="s">
        <v>12</v>
      </c>
      <c r="M11" s="235">
        <f>E12</f>
        <v>483.46187665933354</v>
      </c>
    </row>
    <row r="12" spans="2:13">
      <c r="C12" s="201" t="s">
        <v>12</v>
      </c>
      <c r="D12" s="202">
        <f>'Por Región (G)'!O10</f>
        <v>556.39421297178797</v>
      </c>
      <c r="E12" s="203">
        <f>'Por Región (G)'!P10</f>
        <v>483.46187665933354</v>
      </c>
      <c r="F12" s="204">
        <f>+E12/D12-1</f>
        <v>-0.1310803286808313</v>
      </c>
      <c r="G12" s="348">
        <f>'Por Región (G)'!Q10</f>
        <v>3470.4647439823548</v>
      </c>
      <c r="H12" s="203">
        <f>'Por Región (G)'!R10</f>
        <v>3679.2156369176569</v>
      </c>
      <c r="I12" s="204">
        <f>+H12/G12-1</f>
        <v>6.0150702668069878E-2</v>
      </c>
      <c r="J12" s="26"/>
      <c r="L12" s="146" t="s">
        <v>10</v>
      </c>
      <c r="M12" s="235">
        <f>E10</f>
        <v>360.38881231373472</v>
      </c>
    </row>
    <row r="13" spans="2:13">
      <c r="C13" s="205" t="s">
        <v>11</v>
      </c>
      <c r="D13" s="206">
        <f>'Por Región (G)'!O11</f>
        <v>29.404164706654065</v>
      </c>
      <c r="E13" s="207">
        <f>'Por Región (G)'!P11</f>
        <v>33.250649975333332</v>
      </c>
      <c r="F13" s="208">
        <f>+E13/D13-1</f>
        <v>0.13081430154718254</v>
      </c>
      <c r="G13" s="349">
        <f>'Por Región (G)'!Q11</f>
        <v>297.3216132213999</v>
      </c>
      <c r="H13" s="207">
        <f>'Por Región (G)'!R11</f>
        <v>200.51745669799999</v>
      </c>
      <c r="I13" s="208">
        <f>+H13/G13-1</f>
        <v>-0.32558735126771599</v>
      </c>
      <c r="J13" s="26"/>
      <c r="L13" s="146" t="s">
        <v>11</v>
      </c>
      <c r="M13" s="235">
        <f>E13</f>
        <v>33.250649975333332</v>
      </c>
    </row>
    <row r="14" spans="2:13" ht="13.8" thickBot="1">
      <c r="C14" s="211" t="s">
        <v>108</v>
      </c>
      <c r="D14" s="212">
        <f>SUM(D10:D13)</f>
        <v>4021.8753422316554</v>
      </c>
      <c r="E14" s="213">
        <f>SUM(E10:E13)</f>
        <v>4724.6631899087879</v>
      </c>
      <c r="F14" s="214">
        <f>+E14/D14-1</f>
        <v>0.17474133031859962</v>
      </c>
      <c r="G14" s="350">
        <f>SUM(G10:G13)</f>
        <v>24989.142222581075</v>
      </c>
      <c r="H14" s="213">
        <f>SUM(H10:H13)</f>
        <v>28380.056233247305</v>
      </c>
      <c r="I14" s="214">
        <f>+H14/G14-1</f>
        <v>0.1356954944856843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5" t="s">
        <v>93</v>
      </c>
      <c r="D18" s="395"/>
      <c r="E18" s="395"/>
      <c r="F18" s="395"/>
      <c r="G18" s="396" t="s">
        <v>107</v>
      </c>
      <c r="H18" s="397"/>
      <c r="I18" s="397"/>
      <c r="J18" s="397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42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5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1" t="s">
        <v>13</v>
      </c>
      <c r="D54" s="393" t="s">
        <v>131</v>
      </c>
      <c r="E54" s="394"/>
      <c r="F54" s="394"/>
      <c r="G54" s="394"/>
      <c r="H54" s="394"/>
      <c r="I54" s="19"/>
      <c r="J54" s="19"/>
    </row>
    <row r="55" spans="3:13">
      <c r="C55" s="392"/>
      <c r="D55" s="114" t="s">
        <v>14</v>
      </c>
      <c r="E55" s="115" t="s">
        <v>15</v>
      </c>
      <c r="F55" s="115" t="s">
        <v>5</v>
      </c>
      <c r="G55" s="115" t="s">
        <v>16</v>
      </c>
      <c r="H55" s="115" t="s">
        <v>71</v>
      </c>
      <c r="I55" s="19"/>
      <c r="J55" s="19"/>
    </row>
    <row r="56" spans="3:13">
      <c r="C56" s="216" t="s">
        <v>10</v>
      </c>
      <c r="D56" s="343">
        <f>'Resumen (G)'!F14-'PorZona (G)'!D58</f>
        <v>77.45114459499996</v>
      </c>
      <c r="E56" s="220">
        <v>124.28056527450417</v>
      </c>
      <c r="F56" s="220">
        <v>0</v>
      </c>
      <c r="G56" s="220">
        <v>158.65710244423059</v>
      </c>
      <c r="H56" s="220">
        <f>SUM(D56:G56)</f>
        <v>360.38881231373472</v>
      </c>
      <c r="I56" s="338"/>
      <c r="K56" s="313"/>
      <c r="L56" s="326"/>
      <c r="M56" s="326"/>
    </row>
    <row r="57" spans="3:13">
      <c r="C57" s="217" t="s">
        <v>9</v>
      </c>
      <c r="D57" s="344">
        <v>0</v>
      </c>
      <c r="E57" s="221">
        <v>1823.5348395731796</v>
      </c>
      <c r="F57" s="345">
        <v>6.4619999999999999E-3</v>
      </c>
      <c r="G57" s="221">
        <v>2024.0205493872063</v>
      </c>
      <c r="H57" s="221">
        <f>SUM(D57:G57)</f>
        <v>3847.561850960386</v>
      </c>
      <c r="I57" s="338"/>
      <c r="K57" s="313"/>
      <c r="L57" s="326"/>
      <c r="M57" s="326"/>
    </row>
    <row r="58" spans="3:13">
      <c r="C58" s="217" t="s">
        <v>12</v>
      </c>
      <c r="D58" s="344">
        <v>56.737768147500013</v>
      </c>
      <c r="E58" s="221">
        <v>311.83123650693778</v>
      </c>
      <c r="F58" s="221">
        <f>'Resumen (G)'!D15</f>
        <v>54.263323282500018</v>
      </c>
      <c r="G58" s="221">
        <v>60.629548722395725</v>
      </c>
      <c r="H58" s="221">
        <f>SUM(D58:G58)</f>
        <v>483.46187665933354</v>
      </c>
      <c r="I58" s="338"/>
      <c r="K58" s="313"/>
      <c r="L58" s="326"/>
      <c r="M58" s="326"/>
    </row>
    <row r="59" spans="3:13">
      <c r="C59" s="218" t="s">
        <v>11</v>
      </c>
      <c r="D59" s="346">
        <v>0</v>
      </c>
      <c r="E59" s="222">
        <v>0</v>
      </c>
      <c r="F59" s="222">
        <v>0</v>
      </c>
      <c r="G59" s="222">
        <f>E13</f>
        <v>33.250649975333332</v>
      </c>
      <c r="H59" s="222">
        <f>SUM(D59:G59)</f>
        <v>33.250649975333332</v>
      </c>
      <c r="I59" s="338"/>
      <c r="K59" s="19"/>
      <c r="L59" s="326"/>
      <c r="M59" s="326"/>
    </row>
    <row r="60" spans="3:13" ht="13.8" thickBot="1">
      <c r="C60" s="116" t="s">
        <v>108</v>
      </c>
      <c r="D60" s="223">
        <f>SUM(D56:D59)</f>
        <v>134.18891274249998</v>
      </c>
      <c r="E60" s="224">
        <f>SUM(E56:E59)</f>
        <v>2259.6466413546214</v>
      </c>
      <c r="F60" s="224">
        <f>SUM(F56:F59)</f>
        <v>54.269785282500017</v>
      </c>
      <c r="G60" s="224">
        <f>SUM(G56:G59)</f>
        <v>2276.557850529166</v>
      </c>
      <c r="H60" s="224">
        <f>SUM(H56:H59)</f>
        <v>4724.6631899087879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41"/>
      <c r="H64" s="123"/>
    </row>
    <row r="65" spans="5:5">
      <c r="E65" s="123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tabSelected="1" view="pageBreakPreview" zoomScale="80" zoomScaleNormal="100" zoomScaleSheetLayoutView="80" workbookViewId="0">
      <selection activeCell="C3" sqref="C3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9" t="s">
        <v>60</v>
      </c>
      <c r="D6" s="398" t="s">
        <v>126</v>
      </c>
      <c r="E6" s="399"/>
      <c r="F6" s="386" t="s">
        <v>74</v>
      </c>
      <c r="G6" s="384" t="s">
        <v>127</v>
      </c>
      <c r="H6" s="385"/>
      <c r="I6" s="386" t="s">
        <v>74</v>
      </c>
      <c r="O6" s="47"/>
      <c r="P6" s="86"/>
      <c r="Q6" s="400" t="s">
        <v>116</v>
      </c>
      <c r="R6" s="400"/>
    </row>
    <row r="7" spans="3:19" ht="12.75" customHeight="1">
      <c r="C7" s="110"/>
      <c r="D7" s="111">
        <v>2020</v>
      </c>
      <c r="E7" s="97">
        <v>2021</v>
      </c>
      <c r="F7" s="387"/>
      <c r="G7" s="242">
        <v>2020</v>
      </c>
      <c r="H7" s="97">
        <v>2021</v>
      </c>
      <c r="I7" s="387"/>
      <c r="N7" s="54"/>
      <c r="O7" s="323">
        <v>2020</v>
      </c>
      <c r="P7" s="325">
        <v>2021</v>
      </c>
      <c r="Q7" s="54">
        <v>2020</v>
      </c>
      <c r="R7" s="54">
        <v>2021</v>
      </c>
    </row>
    <row r="8" spans="3:19" ht="20.100000000000001" customHeight="1">
      <c r="C8" s="118" t="s">
        <v>17</v>
      </c>
      <c r="D8" s="403">
        <v>3.1343999551137216</v>
      </c>
      <c r="E8" s="404">
        <v>3.9583253333333337</v>
      </c>
      <c r="F8" s="226">
        <f>+E8/D8-1</f>
        <v>0.26286542560574988</v>
      </c>
      <c r="G8" s="359">
        <v>18.298361573608315</v>
      </c>
      <c r="H8" s="360">
        <v>21.958693333333333</v>
      </c>
      <c r="I8" s="226">
        <f>+H8/G8-1</f>
        <v>0.20003603847266338</v>
      </c>
      <c r="J8" s="26"/>
      <c r="K8" s="46"/>
      <c r="L8" s="46"/>
      <c r="N8" s="57" t="s">
        <v>10</v>
      </c>
      <c r="O8" s="71">
        <f>SUM(D8,D13,D20,D21,D27,D29,D31)</f>
        <v>278.17090726924954</v>
      </c>
      <c r="P8" s="71">
        <f t="shared" ref="P8" si="0">SUM(E8,E13,E20,E21,E27,E29,E31)</f>
        <v>360.38881231373472</v>
      </c>
      <c r="Q8" s="71">
        <f>SUM(G8,G13,G20,G21,G27,G29,G31)</f>
        <v>1730.2638540788548</v>
      </c>
      <c r="R8" s="71">
        <f>SUM(H8,H13,H20,H21,H27,H29,H31)</f>
        <v>1932.4377921217588</v>
      </c>
    </row>
    <row r="9" spans="3:19" ht="20.100000000000001" customHeight="1">
      <c r="C9" s="119" t="s">
        <v>18</v>
      </c>
      <c r="D9" s="225">
        <v>124.6360178767396</v>
      </c>
      <c r="E9" s="287">
        <v>138.33190154290909</v>
      </c>
      <c r="F9" s="227">
        <f t="shared" ref="F9:F32" si="1">+E9/D9-1</f>
        <v>0.10988704468811106</v>
      </c>
      <c r="G9" s="243">
        <v>1346.4773292338161</v>
      </c>
      <c r="H9" s="287">
        <v>1382.8827154549547</v>
      </c>
      <c r="I9" s="302">
        <f t="shared" ref="I9:I32" si="2">+H9/G9-1</f>
        <v>2.7037504034215232E-2</v>
      </c>
      <c r="J9" s="26"/>
      <c r="K9" s="46"/>
      <c r="L9" s="46"/>
      <c r="N9" s="57" t="s">
        <v>9</v>
      </c>
      <c r="O9" s="323">
        <f>SUM(D9,D14,D16,D17,D19,D22,D26,D32)</f>
        <v>3157.9060572839635</v>
      </c>
      <c r="P9" s="323">
        <f>SUM(E9,E14,E16,E17,E19,E22,E26,E32)</f>
        <v>3847.561850960386</v>
      </c>
      <c r="Q9" s="323">
        <f>SUM(G9,G14,G16,G17,G19,G22,G26,G32)</f>
        <v>19491.092011298468</v>
      </c>
      <c r="R9" s="323">
        <f>SUM(H9,H14,H16,H17,H19,H22,H26,H32)</f>
        <v>22567.885347509891</v>
      </c>
    </row>
    <row r="10" spans="3:19" ht="20.100000000000001" customHeight="1">
      <c r="C10" s="120" t="s">
        <v>19</v>
      </c>
      <c r="D10" s="225">
        <v>3.8174569452460596</v>
      </c>
      <c r="E10" s="287">
        <v>4.3913599999999997</v>
      </c>
      <c r="F10" s="227">
        <f t="shared" si="1"/>
        <v>0.15033648394348775</v>
      </c>
      <c r="G10" s="243">
        <v>27.625424121690418</v>
      </c>
      <c r="H10" s="287">
        <v>26.848167</v>
      </c>
      <c r="I10" s="227">
        <f t="shared" si="2"/>
        <v>-2.8135572444665025E-2</v>
      </c>
      <c r="J10" s="26"/>
      <c r="K10" s="46"/>
      <c r="L10" s="46"/>
      <c r="N10" s="54" t="s">
        <v>12</v>
      </c>
      <c r="O10" s="323">
        <f>SUM(D10,D11,D12,D15,D18,D24,D25,D28,D30)</f>
        <v>556.39421297178797</v>
      </c>
      <c r="P10" s="323">
        <f t="shared" ref="P10" si="3">SUM(E10,E11,E12,E15,E18,E24,E25,E28,E30)</f>
        <v>483.46187665933354</v>
      </c>
      <c r="Q10" s="323">
        <f>SUM(G10,G11,G12,G15,G18,G24,G25,G28,G30)</f>
        <v>3470.4647439823548</v>
      </c>
      <c r="R10" s="323">
        <f>SUM(H10,H11,H12,H15,H18,H24,H25,H28,H30)</f>
        <v>3679.2156369176569</v>
      </c>
    </row>
    <row r="11" spans="3:19" ht="20.100000000000001" customHeight="1">
      <c r="C11" s="119" t="s">
        <v>20</v>
      </c>
      <c r="D11" s="354">
        <v>89.029193010057114</v>
      </c>
      <c r="E11" s="318">
        <v>89.239306308537579</v>
      </c>
      <c r="F11" s="351">
        <f t="shared" si="1"/>
        <v>2.3600494554267826E-3</v>
      </c>
      <c r="G11" s="243">
        <v>680.93555213827278</v>
      </c>
      <c r="H11" s="287">
        <v>626.05444453372502</v>
      </c>
      <c r="I11" s="227">
        <f t="shared" si="2"/>
        <v>-8.0596625381374465E-2</v>
      </c>
      <c r="J11" s="26"/>
      <c r="K11" s="46"/>
      <c r="L11" s="46"/>
      <c r="N11" s="324" t="s">
        <v>11</v>
      </c>
      <c r="O11" s="71">
        <f>D23</f>
        <v>29.404164706654065</v>
      </c>
      <c r="P11" s="71">
        <f t="shared" ref="P11" si="4">E23</f>
        <v>33.250649975333332</v>
      </c>
      <c r="Q11" s="71">
        <f>G23</f>
        <v>297.3216132213999</v>
      </c>
      <c r="R11" s="71">
        <f>H23</f>
        <v>200.51745669799999</v>
      </c>
    </row>
    <row r="12" spans="3:19" ht="20.100000000000001" customHeight="1">
      <c r="C12" s="119" t="s">
        <v>21</v>
      </c>
      <c r="D12" s="364">
        <v>0.86643310731818357</v>
      </c>
      <c r="E12" s="365">
        <v>0.85577733333333328</v>
      </c>
      <c r="F12" s="227">
        <f t="shared" si="1"/>
        <v>-1.2298438153907187E-2</v>
      </c>
      <c r="G12" s="353">
        <v>5.523562792391739</v>
      </c>
      <c r="H12" s="318">
        <v>5.5552943333333324</v>
      </c>
      <c r="I12" s="227">
        <f t="shared" si="2"/>
        <v>5.7447597020714447E-3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9" t="s">
        <v>22</v>
      </c>
      <c r="D13" s="225">
        <v>76.767202058307333</v>
      </c>
      <c r="E13" s="287">
        <v>129.62910727574993</v>
      </c>
      <c r="F13" s="227">
        <f t="shared" si="1"/>
        <v>0.68860012870199649</v>
      </c>
      <c r="G13" s="243">
        <v>667.78008329903957</v>
      </c>
      <c r="H13" s="287">
        <v>781.83909404374981</v>
      </c>
      <c r="I13" s="227">
        <f t="shared" si="2"/>
        <v>0.17080325334236313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9" t="s">
        <v>59</v>
      </c>
      <c r="D14" s="225">
        <v>202.77602546531079</v>
      </c>
      <c r="E14" s="287">
        <v>279.7627826425001</v>
      </c>
      <c r="F14" s="227">
        <f t="shared" si="1"/>
        <v>0.37966400120787225</v>
      </c>
      <c r="G14" s="243">
        <v>794.92577179186458</v>
      </c>
      <c r="H14" s="287">
        <v>1198.559510944054</v>
      </c>
      <c r="I14" s="227">
        <f t="shared" si="2"/>
        <v>0.50776280437146637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9" t="s">
        <v>23</v>
      </c>
      <c r="D15" s="225">
        <v>186.35708806666668</v>
      </c>
      <c r="E15" s="287">
        <v>169.43714983079582</v>
      </c>
      <c r="F15" s="227">
        <f t="shared" si="1"/>
        <v>-9.0793102700864159E-2</v>
      </c>
      <c r="G15" s="243">
        <v>1007.1073713999998</v>
      </c>
      <c r="H15" s="287">
        <v>1140.3595159514321</v>
      </c>
      <c r="I15" s="351">
        <f t="shared" si="2"/>
        <v>0.1323117557626412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9" t="s">
        <v>24</v>
      </c>
      <c r="D16" s="225">
        <v>816.91731225561591</v>
      </c>
      <c r="E16" s="287">
        <v>796.63310611974407</v>
      </c>
      <c r="F16" s="227">
        <f t="shared" si="1"/>
        <v>-2.4830182726651384E-2</v>
      </c>
      <c r="G16" s="243">
        <v>5469.7304918120963</v>
      </c>
      <c r="H16" s="287">
        <v>5481.9506081934624</v>
      </c>
      <c r="I16" s="302">
        <f t="shared" si="2"/>
        <v>2.2341350089660761E-3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9" t="s">
        <v>25</v>
      </c>
      <c r="D17" s="225">
        <v>120.69849273333334</v>
      </c>
      <c r="E17" s="287">
        <v>118.91974449189637</v>
      </c>
      <c r="F17" s="227">
        <f t="shared" si="1"/>
        <v>-1.4737120581670204E-2</v>
      </c>
      <c r="G17" s="243">
        <v>1560.6265163999997</v>
      </c>
      <c r="H17" s="287">
        <v>1555.3854397292519</v>
      </c>
      <c r="I17" s="302">
        <f t="shared" si="2"/>
        <v>-3.3583157889933712E-3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9" t="s">
        <v>26</v>
      </c>
      <c r="D18" s="225">
        <v>145.46163906666666</v>
      </c>
      <c r="E18" s="287">
        <v>99.1853076641667</v>
      </c>
      <c r="F18" s="227">
        <f t="shared" si="1"/>
        <v>-0.31813426343484974</v>
      </c>
      <c r="G18" s="243">
        <v>740.0174523999998</v>
      </c>
      <c r="H18" s="287">
        <v>808.28516949499999</v>
      </c>
      <c r="I18" s="227">
        <f t="shared" si="2"/>
        <v>9.2251496060797855E-2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9" t="s">
        <v>27</v>
      </c>
      <c r="D19" s="225">
        <v>199.02472546666667</v>
      </c>
      <c r="E19" s="287">
        <v>230.69324296000011</v>
      </c>
      <c r="F19" s="227">
        <f t="shared" si="1"/>
        <v>0.1591185086128275</v>
      </c>
      <c r="G19" s="243">
        <v>1694.0966528000004</v>
      </c>
      <c r="H19" s="287">
        <v>1747.8660859058339</v>
      </c>
      <c r="I19" s="302">
        <f t="shared" si="2"/>
        <v>3.1739294813529995E-2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9" t="s">
        <v>28</v>
      </c>
      <c r="D20" s="225">
        <v>67.693564142409016</v>
      </c>
      <c r="E20" s="287">
        <v>82.600870931119516</v>
      </c>
      <c r="F20" s="302">
        <f t="shared" si="1"/>
        <v>0.22021749006079139</v>
      </c>
      <c r="G20" s="243">
        <v>383.59301401621809</v>
      </c>
      <c r="H20" s="287">
        <v>361.78755212181716</v>
      </c>
      <c r="I20" s="227">
        <f t="shared" si="2"/>
        <v>-5.6845305043743632E-2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9" t="s">
        <v>29</v>
      </c>
      <c r="D21" s="354">
        <v>4.6289312666666671</v>
      </c>
      <c r="E21" s="318">
        <v>5.3906158066666681</v>
      </c>
      <c r="F21" s="227">
        <f t="shared" si="1"/>
        <v>0.16454868221633734</v>
      </c>
      <c r="G21" s="243">
        <v>29.956712600000007</v>
      </c>
      <c r="H21" s="287">
        <v>31.157327722500007</v>
      </c>
      <c r="I21" s="227">
        <f t="shared" si="2"/>
        <v>4.0078333645327868E-2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9" t="s">
        <v>30</v>
      </c>
      <c r="D22" s="225">
        <v>1638.4571921529637</v>
      </c>
      <c r="E22" s="287">
        <v>2207.2429581225033</v>
      </c>
      <c r="F22" s="227">
        <f t="shared" si="1"/>
        <v>0.34714716301018789</v>
      </c>
      <c r="G22" s="243">
        <v>8056.8229232606918</v>
      </c>
      <c r="H22" s="287">
        <v>10610.721324202335</v>
      </c>
      <c r="I22" s="227">
        <f t="shared" si="2"/>
        <v>0.31698579269606819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9" t="s">
        <v>31</v>
      </c>
      <c r="D23" s="225">
        <v>29.404164706654065</v>
      </c>
      <c r="E23" s="287">
        <v>33.250649975333332</v>
      </c>
      <c r="F23" s="227">
        <f t="shared" si="1"/>
        <v>0.13081430154718254</v>
      </c>
      <c r="G23" s="243">
        <v>297.3216132213999</v>
      </c>
      <c r="H23" s="287">
        <v>200.51745669799999</v>
      </c>
      <c r="I23" s="227">
        <f t="shared" si="2"/>
        <v>-0.32558735126771599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9" t="s">
        <v>32</v>
      </c>
      <c r="D24" s="354">
        <v>0.10990699999999999</v>
      </c>
      <c r="E24" s="318">
        <v>0.46720924250000001</v>
      </c>
      <c r="F24" s="227">
        <f t="shared" si="1"/>
        <v>3.2509507356219354</v>
      </c>
      <c r="G24" s="243">
        <v>4.6687440000000002</v>
      </c>
      <c r="H24" s="287">
        <v>1.046596385</v>
      </c>
      <c r="I24" s="302">
        <f t="shared" si="2"/>
        <v>-0.77582913413114962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9" t="s">
        <v>33</v>
      </c>
      <c r="D25" s="225">
        <v>47.944931333333336</v>
      </c>
      <c r="E25" s="287">
        <v>44.822631137500004</v>
      </c>
      <c r="F25" s="227">
        <f t="shared" si="1"/>
        <v>-6.5122633592397672E-2</v>
      </c>
      <c r="G25" s="243">
        <v>309.26448200000004</v>
      </c>
      <c r="H25" s="287">
        <v>345.40677303666666</v>
      </c>
      <c r="I25" s="227">
        <f t="shared" si="2"/>
        <v>0.11686531477179662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9" t="s">
        <v>34</v>
      </c>
      <c r="D26" s="225">
        <v>53.878226999999995</v>
      </c>
      <c r="E26" s="287">
        <v>52.0963701875</v>
      </c>
      <c r="F26" s="227">
        <f t="shared" si="1"/>
        <v>-3.3071927413275803E-2</v>
      </c>
      <c r="G26" s="243">
        <v>543.25933499999996</v>
      </c>
      <c r="H26" s="287">
        <v>509.38299717500001</v>
      </c>
      <c r="I26" s="227">
        <f t="shared" si="2"/>
        <v>-6.2357580703146009E-2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9" t="s">
        <v>35</v>
      </c>
      <c r="D27" s="225">
        <v>122.06422484675278</v>
      </c>
      <c r="E27" s="287">
        <v>133.75934496686529</v>
      </c>
      <c r="F27" s="227">
        <f t="shared" si="1"/>
        <v>9.5811202133920137E-2</v>
      </c>
      <c r="G27" s="243">
        <v>596.03346458998874</v>
      </c>
      <c r="H27" s="287">
        <v>703.02164390035841</v>
      </c>
      <c r="I27" s="227">
        <f t="shared" si="2"/>
        <v>0.17950028927313144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9" t="s">
        <v>36</v>
      </c>
      <c r="D28" s="225">
        <v>70.294856442499992</v>
      </c>
      <c r="E28" s="287">
        <v>65.178631280000005</v>
      </c>
      <c r="F28" s="227">
        <f t="shared" si="1"/>
        <v>-7.2782354519565384E-2</v>
      </c>
      <c r="G28" s="243">
        <v>618.30140713000003</v>
      </c>
      <c r="H28" s="287">
        <v>647.59490340000002</v>
      </c>
      <c r="I28" s="227">
        <f t="shared" si="2"/>
        <v>4.737737280264831E-2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9" t="s">
        <v>37</v>
      </c>
      <c r="D29" s="225">
        <v>2.7820370000000003</v>
      </c>
      <c r="E29" s="287">
        <v>3.95</v>
      </c>
      <c r="F29" s="227">
        <f t="shared" si="1"/>
        <v>0.41982295706347528</v>
      </c>
      <c r="G29" s="243">
        <v>27.998930000000001</v>
      </c>
      <c r="H29" s="287">
        <v>26.070193</v>
      </c>
      <c r="I29" s="302">
        <f t="shared" si="2"/>
        <v>-6.8886096718696055E-2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9" t="s">
        <v>38</v>
      </c>
      <c r="D30" s="225">
        <v>12.512707999999998</v>
      </c>
      <c r="E30" s="287">
        <v>9.884503862499999</v>
      </c>
      <c r="F30" s="227">
        <f t="shared" si="1"/>
        <v>-0.21004279309482798</v>
      </c>
      <c r="G30" s="243">
        <v>77.020747999999998</v>
      </c>
      <c r="H30" s="287">
        <v>78.0647727825</v>
      </c>
      <c r="I30" s="227">
        <f t="shared" si="2"/>
        <v>1.3555110922838676E-2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9" t="s">
        <v>39</v>
      </c>
      <c r="D31" s="354">
        <v>1.1005480000000003</v>
      </c>
      <c r="E31" s="318">
        <v>1.1005480000000003</v>
      </c>
      <c r="F31" s="302">
        <f>+E31/D31-1</f>
        <v>0</v>
      </c>
      <c r="G31" s="243">
        <v>6.6032880000000027</v>
      </c>
      <c r="H31" s="287">
        <v>6.6032880000000027</v>
      </c>
      <c r="I31" s="227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1" t="s">
        <v>40</v>
      </c>
      <c r="D32" s="219">
        <v>1.5180643333333335</v>
      </c>
      <c r="E32" s="288">
        <v>23.881744893333337</v>
      </c>
      <c r="F32" s="228">
        <f t="shared" si="1"/>
        <v>14.731708050141926</v>
      </c>
      <c r="G32" s="244">
        <v>25.152990999999993</v>
      </c>
      <c r="H32" s="288">
        <v>81.136665905000001</v>
      </c>
      <c r="I32" s="228">
        <f t="shared" si="2"/>
        <v>2.2257263521861086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6" t="s">
        <v>108</v>
      </c>
      <c r="D33" s="112">
        <f>SUM(D8:D32)</f>
        <v>4021.8753422316558</v>
      </c>
      <c r="E33" s="289">
        <f>SUM(E8:E32)</f>
        <v>4724.6631899087888</v>
      </c>
      <c r="F33" s="117">
        <f>+E33/D33-1</f>
        <v>0.17474133031859962</v>
      </c>
      <c r="G33" s="245">
        <f>SUM(G8:G32)</f>
        <v>24989.142222581071</v>
      </c>
      <c r="H33" s="289">
        <f>SUM(H8:H32)</f>
        <v>28380.056233247309</v>
      </c>
      <c r="I33" s="246">
        <f>+H33/G33-1</f>
        <v>0.13569549448568452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5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2207.2429581225033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796.63310611974407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279.7627826425001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230.69324296000011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23</v>
      </c>
      <c r="O48" s="53">
        <v>169.43714983079582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18</v>
      </c>
      <c r="O49" s="53">
        <v>138.33190154290909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35</v>
      </c>
      <c r="O50" s="52">
        <v>133.75934496686529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22</v>
      </c>
      <c r="O51" s="53">
        <v>129.62910727574993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25</v>
      </c>
      <c r="O52" s="53">
        <v>118.91974449189637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26</v>
      </c>
      <c r="O53" s="53">
        <v>99.1853076641667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20</v>
      </c>
      <c r="O54" s="53">
        <v>89.239306308537579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28</v>
      </c>
      <c r="O55" s="52">
        <v>82.600870931119516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36</v>
      </c>
      <c r="O56" s="53">
        <v>65.178631280000005</v>
      </c>
      <c r="P56" s="8"/>
      <c r="S56" s="91"/>
    </row>
    <row r="57" spans="3:19">
      <c r="N57" s="51" t="s">
        <v>34</v>
      </c>
      <c r="O57" s="52">
        <v>52.0963701875</v>
      </c>
      <c r="S57" s="91"/>
    </row>
    <row r="58" spans="3:19">
      <c r="N58" s="51" t="s">
        <v>33</v>
      </c>
      <c r="O58" s="52">
        <v>44.822631137500004</v>
      </c>
      <c r="S58" s="122"/>
    </row>
    <row r="59" spans="3:19">
      <c r="N59" s="51" t="s">
        <v>31</v>
      </c>
      <c r="O59" s="52">
        <v>33.250649975333332</v>
      </c>
      <c r="S59" s="91"/>
    </row>
    <row r="60" spans="3:19">
      <c r="N60" s="51" t="s">
        <v>40</v>
      </c>
      <c r="O60" s="52">
        <v>23.881744893333337</v>
      </c>
      <c r="S60" s="91"/>
    </row>
    <row r="61" spans="3:19">
      <c r="N61" s="51" t="s">
        <v>38</v>
      </c>
      <c r="O61" s="52">
        <v>9.884503862499999</v>
      </c>
      <c r="S61" s="91"/>
    </row>
    <row r="62" spans="3:19">
      <c r="N62" s="51" t="s">
        <v>29</v>
      </c>
      <c r="O62" s="52">
        <v>5.3906158066666681</v>
      </c>
      <c r="S62" s="91"/>
    </row>
    <row r="63" spans="3:19">
      <c r="N63" s="50" t="s">
        <v>19</v>
      </c>
      <c r="O63" s="53">
        <v>4.3913599999999997</v>
      </c>
      <c r="S63" s="91"/>
    </row>
    <row r="64" spans="3:19">
      <c r="N64" s="50" t="s">
        <v>17</v>
      </c>
      <c r="O64" s="53">
        <v>3.9583253333333337</v>
      </c>
      <c r="S64" s="91"/>
    </row>
    <row r="65" spans="6:19">
      <c r="N65" s="50" t="s">
        <v>37</v>
      </c>
      <c r="O65" s="53">
        <v>3.95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0.85577733333333328</v>
      </c>
      <c r="S67" s="91"/>
    </row>
    <row r="68" spans="6:19">
      <c r="N68" s="9" t="s">
        <v>32</v>
      </c>
      <c r="O68" s="52">
        <v>0.46720924250000001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2021-07-12T05:03:11Z</dcterms:modified>
</cp:coreProperties>
</file>